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Other computers\Anamika_Dell\ANAMIKA\Anamika_Research\3_AnamikaProjects\3_PMI-Calculator\Draft\Submission\3-OPRD\2nd Revision\"/>
    </mc:Choice>
  </mc:AlternateContent>
  <xr:revisionPtr revIDLastSave="0" documentId="13_ncr:1_{5E6A586A-CC3C-4FEE-A3F5-256796F6E398}" xr6:coauthVersionLast="47" xr6:coauthVersionMax="47" xr10:uidLastSave="{00000000-0000-0000-0000-000000000000}"/>
  <bookViews>
    <workbookView xWindow="-110" yWindow="-110" windowWidth="19420" windowHeight="11500" tabRatio="891" firstSheet="1" activeTab="2" xr2:uid="{51371DE9-6707-42B1-9690-4B0C54647DAB}"/>
  </bookViews>
  <sheets>
    <sheet name="BackUpDATA" sheetId="16" state="hidden" r:id="rId1"/>
    <sheet name="SPPS_PMI-cEF" sheetId="32" r:id="rId2"/>
    <sheet name="LPPS_PMI-cEF" sheetId="3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4" i="32" l="1"/>
  <c r="G54" i="32"/>
  <c r="G55" i="32"/>
  <c r="G91" i="32"/>
  <c r="D51" i="33"/>
  <c r="G51" i="33" s="1"/>
  <c r="G65" i="33"/>
  <c r="G60" i="33"/>
  <c r="D60" i="33"/>
  <c r="G111" i="33"/>
  <c r="G113" i="33"/>
  <c r="G104" i="33"/>
  <c r="G105" i="33"/>
  <c r="G99" i="33"/>
  <c r="G100" i="33"/>
  <c r="G94" i="33"/>
  <c r="G95" i="33"/>
  <c r="G45" i="32"/>
  <c r="F12" i="33"/>
  <c r="D55" i="33"/>
  <c r="G55" i="33" s="1"/>
  <c r="G82" i="33"/>
  <c r="G83" i="33"/>
  <c r="G85" i="33"/>
  <c r="G86" i="33"/>
  <c r="G72" i="33"/>
  <c r="G71" i="33"/>
  <c r="D118" i="33"/>
  <c r="C70" i="33"/>
  <c r="D70" i="33"/>
  <c r="D69" i="33"/>
  <c r="G69" i="33" s="1"/>
  <c r="D64" i="33"/>
  <c r="G64" i="33" s="1"/>
  <c r="D63" i="33"/>
  <c r="G63" i="33" s="1"/>
  <c r="D59" i="33"/>
  <c r="G59" i="33" s="1"/>
  <c r="G62" i="33"/>
  <c r="G61" i="33"/>
  <c r="G52" i="33"/>
  <c r="G54" i="33"/>
  <c r="G53" i="33"/>
  <c r="D50" i="33"/>
  <c r="G50" i="33" s="1"/>
  <c r="D84" i="33"/>
  <c r="G84" i="33" s="1"/>
  <c r="D81" i="33"/>
  <c r="D112" i="33"/>
  <c r="G112" i="33" s="1"/>
  <c r="D110" i="33"/>
  <c r="D103" i="33"/>
  <c r="D102" i="33"/>
  <c r="D101" i="33"/>
  <c r="D98" i="33"/>
  <c r="D97" i="33"/>
  <c r="D96" i="33"/>
  <c r="D93" i="33"/>
  <c r="D92" i="33"/>
  <c r="D91" i="33"/>
  <c r="G91" i="33" s="1"/>
  <c r="D11" i="33"/>
  <c r="G66" i="32"/>
  <c r="G81" i="32"/>
  <c r="G83" i="32"/>
  <c r="G75" i="32"/>
  <c r="G68" i="32"/>
  <c r="G69" i="32"/>
  <c r="D98" i="32"/>
  <c r="D93" i="32"/>
  <c r="D92" i="32"/>
  <c r="D82" i="32"/>
  <c r="D84" i="32"/>
  <c r="D80" i="32"/>
  <c r="D74" i="32"/>
  <c r="D47" i="32"/>
  <c r="D46" i="32"/>
  <c r="D43" i="32"/>
  <c r="D52" i="32"/>
  <c r="D67" i="32"/>
  <c r="D65" i="32"/>
  <c r="D64" i="32"/>
  <c r="C53" i="32"/>
  <c r="D53" i="32"/>
  <c r="F43" i="33" l="1"/>
  <c r="F42" i="33"/>
  <c r="F41" i="33"/>
  <c r="F40" i="33"/>
  <c r="F35" i="32"/>
  <c r="F34" i="32"/>
  <c r="F33" i="32"/>
  <c r="F32" i="32"/>
  <c r="G53" i="32"/>
  <c r="G52" i="32"/>
  <c r="G118" i="33"/>
  <c r="G101" i="32"/>
  <c r="G98" i="32"/>
  <c r="F4" i="32"/>
  <c r="C107" i="32" s="1"/>
  <c r="G70" i="33"/>
  <c r="G73" i="33" s="1"/>
  <c r="C132" i="33"/>
  <c r="G121" i="33"/>
  <c r="G110" i="33"/>
  <c r="G114" i="33" s="1"/>
  <c r="G103" i="33"/>
  <c r="G102" i="33"/>
  <c r="G101" i="33"/>
  <c r="G98" i="33"/>
  <c r="G97" i="33"/>
  <c r="G96" i="33"/>
  <c r="G93" i="33"/>
  <c r="G92" i="33"/>
  <c r="G81" i="33"/>
  <c r="G87" i="33" s="1"/>
  <c r="F11" i="33"/>
  <c r="E44" i="33"/>
  <c r="F39" i="33"/>
  <c r="F38" i="33"/>
  <c r="F37" i="33"/>
  <c r="F36" i="33"/>
  <c r="F35" i="33"/>
  <c r="F34" i="33"/>
  <c r="F33" i="33"/>
  <c r="F32" i="33"/>
  <c r="F31" i="33"/>
  <c r="F30" i="33"/>
  <c r="F29" i="33"/>
  <c r="F28" i="33"/>
  <c r="F27" i="33"/>
  <c r="F26" i="33"/>
  <c r="F25" i="33"/>
  <c r="F24" i="33"/>
  <c r="F23" i="33"/>
  <c r="F22" i="33"/>
  <c r="F21" i="33"/>
  <c r="F20" i="33"/>
  <c r="F19" i="33"/>
  <c r="F6" i="33"/>
  <c r="C112" i="32"/>
  <c r="G93" i="32"/>
  <c r="G92" i="32"/>
  <c r="G90" i="32"/>
  <c r="G85" i="32"/>
  <c r="G84" i="32"/>
  <c r="G82" i="32"/>
  <c r="G80" i="32"/>
  <c r="G74" i="32"/>
  <c r="G76" i="32" s="1"/>
  <c r="G67" i="32"/>
  <c r="G65" i="32"/>
  <c r="G64" i="32"/>
  <c r="G47" i="32"/>
  <c r="G46" i="32"/>
  <c r="G43" i="32"/>
  <c r="E37" i="32"/>
  <c r="F36" i="32"/>
  <c r="F31" i="32"/>
  <c r="F30" i="32"/>
  <c r="F29" i="32"/>
  <c r="F28" i="32"/>
  <c r="F27" i="32"/>
  <c r="F26" i="32"/>
  <c r="F25" i="32"/>
  <c r="F24" i="32"/>
  <c r="F23" i="32"/>
  <c r="F22" i="32"/>
  <c r="F21" i="32"/>
  <c r="F20" i="32"/>
  <c r="F19" i="32"/>
  <c r="F18" i="32"/>
  <c r="F17" i="32"/>
  <c r="F16" i="32"/>
  <c r="F15" i="32"/>
  <c r="F14" i="32"/>
  <c r="F13" i="32"/>
  <c r="F12" i="32"/>
  <c r="G94" i="32" l="1"/>
  <c r="G56" i="32"/>
  <c r="G106" i="33"/>
  <c r="F14" i="33"/>
  <c r="C127" i="33" s="1"/>
  <c r="G56" i="33"/>
  <c r="G86" i="32"/>
  <c r="G70" i="32"/>
  <c r="G103" i="32" s="1"/>
  <c r="G48" i="32"/>
  <c r="F37" i="32"/>
  <c r="C108" i="32" s="1"/>
  <c r="F44" i="33"/>
  <c r="C128" i="33" s="1"/>
  <c r="C110" i="32" l="1"/>
  <c r="G75" i="33"/>
  <c r="C129" i="33" s="1"/>
  <c r="G123" i="33"/>
  <c r="C130" i="33" s="1"/>
  <c r="G58" i="32"/>
  <c r="C109" i="32" s="1"/>
  <c r="C131" i="33" l="1"/>
  <c r="C133" i="33" s="1"/>
  <c r="C135" i="33" s="1"/>
  <c r="C111" i="32"/>
  <c r="C113" i="32" s="1"/>
  <c r="C115" i="32" s="1"/>
  <c r="C134" i="33" l="1"/>
  <c r="C114" i="32"/>
</calcChain>
</file>

<file path=xl/sharedStrings.xml><?xml version="1.0" encoding="utf-8"?>
<sst xmlns="http://schemas.openxmlformats.org/spreadsheetml/2006/main" count="459" uniqueCount="220">
  <si>
    <t>HOBt</t>
  </si>
  <si>
    <t>DIC</t>
  </si>
  <si>
    <t>Coupling Reagent</t>
  </si>
  <si>
    <t>Solvent</t>
  </si>
  <si>
    <t>Density</t>
  </si>
  <si>
    <t>Details of Standard Fmoc-Amino acids</t>
  </si>
  <si>
    <t>Equivalent</t>
  </si>
  <si>
    <t>Resin Type</t>
  </si>
  <si>
    <t>Loading (mmol/g)</t>
  </si>
  <si>
    <t>Scale (mmol)</t>
  </si>
  <si>
    <t>Coupling</t>
  </si>
  <si>
    <t>Mol. Wt.</t>
  </si>
  <si>
    <t>DMF</t>
  </si>
  <si>
    <t>Methanol</t>
  </si>
  <si>
    <t>Diethyl ether</t>
  </si>
  <si>
    <t>Amino acids</t>
  </si>
  <si>
    <t>Reagents</t>
  </si>
  <si>
    <t>Tag</t>
  </si>
  <si>
    <t>CTC Resin</t>
  </si>
  <si>
    <t>Br Resin</t>
  </si>
  <si>
    <t>Other Amino acids</t>
  </si>
  <si>
    <t>Additives</t>
  </si>
  <si>
    <t>TBEC</t>
  </si>
  <si>
    <t>HBTU</t>
  </si>
  <si>
    <t>HCTU</t>
  </si>
  <si>
    <t>HATU</t>
  </si>
  <si>
    <t>COMU</t>
  </si>
  <si>
    <t>HOAt</t>
  </si>
  <si>
    <t>Oxyma</t>
  </si>
  <si>
    <t>Base</t>
  </si>
  <si>
    <t>Yes(DIEA)</t>
  </si>
  <si>
    <t>Step</t>
  </si>
  <si>
    <t>Wt. Taken (g)</t>
  </si>
  <si>
    <t>No additive</t>
  </si>
  <si>
    <t>No base</t>
  </si>
  <si>
    <t>Fmoc removal Solvent</t>
  </si>
  <si>
    <t>1% OxymaPure in DMF</t>
  </si>
  <si>
    <t>Final Wash</t>
  </si>
  <si>
    <t>Global Deprotection</t>
  </si>
  <si>
    <t>Precipitation</t>
  </si>
  <si>
    <t>Peptide cleavage</t>
  </si>
  <si>
    <t>Sample Preparation</t>
  </si>
  <si>
    <t>Purification</t>
  </si>
  <si>
    <t>Flow Rate (ml/min)</t>
  </si>
  <si>
    <t>Total time (min)</t>
  </si>
  <si>
    <t>Amount (mL)</t>
  </si>
  <si>
    <t xml:space="preserve">TOTAL SOLVENT CONSUMPTION = </t>
  </si>
  <si>
    <t>Additives (for washing)</t>
  </si>
  <si>
    <t>HOBt (Washing)</t>
  </si>
  <si>
    <t>HOAt (Washing)</t>
  </si>
  <si>
    <t>Oxyma (Washing)</t>
  </si>
  <si>
    <t xml:space="preserve">TOTAL = </t>
  </si>
  <si>
    <r>
      <t xml:space="preserve">Fmoc-Ala-OH </t>
    </r>
    <r>
      <rPr>
        <b/>
        <sz val="11"/>
        <color theme="1"/>
        <rFont val="Aptos Narrow"/>
        <family val="2"/>
        <scheme val="minor"/>
      </rPr>
      <t>(A)</t>
    </r>
  </si>
  <si>
    <r>
      <t xml:space="preserve">Fmoc-Arg(Pbf)-OH </t>
    </r>
    <r>
      <rPr>
        <b/>
        <sz val="11"/>
        <color theme="1"/>
        <rFont val="Aptos Narrow"/>
        <family val="2"/>
        <scheme val="minor"/>
      </rPr>
      <t>(R)</t>
    </r>
  </si>
  <si>
    <r>
      <t xml:space="preserve">Fmoc-Asn(Trt)-OH </t>
    </r>
    <r>
      <rPr>
        <b/>
        <sz val="11"/>
        <color theme="1"/>
        <rFont val="Aptos Narrow"/>
        <family val="2"/>
        <scheme val="minor"/>
      </rPr>
      <t>(N)</t>
    </r>
  </si>
  <si>
    <r>
      <t xml:space="preserve">Fmoc-Asp(tBu)-OH </t>
    </r>
    <r>
      <rPr>
        <b/>
        <sz val="11"/>
        <color theme="1"/>
        <rFont val="Aptos Narrow"/>
        <family val="2"/>
        <scheme val="minor"/>
      </rPr>
      <t>(D)</t>
    </r>
  </si>
  <si>
    <r>
      <t xml:space="preserve">Fmoc-Cys(Trt)-OH </t>
    </r>
    <r>
      <rPr>
        <b/>
        <sz val="11"/>
        <color theme="1"/>
        <rFont val="Aptos Narrow"/>
        <family val="2"/>
        <scheme val="minor"/>
      </rPr>
      <t>(C)</t>
    </r>
  </si>
  <si>
    <r>
      <t xml:space="preserve">Fmoc-Gln(Trt)-OH </t>
    </r>
    <r>
      <rPr>
        <b/>
        <sz val="11"/>
        <color theme="1"/>
        <rFont val="Aptos Narrow"/>
        <family val="2"/>
        <scheme val="minor"/>
      </rPr>
      <t>(Q)</t>
    </r>
  </si>
  <si>
    <r>
      <t xml:space="preserve">Fmoc-Glu(tBu)-OH </t>
    </r>
    <r>
      <rPr>
        <b/>
        <sz val="11"/>
        <color theme="1"/>
        <rFont val="Aptos Narrow"/>
        <family val="2"/>
        <scheme val="minor"/>
      </rPr>
      <t>(E)</t>
    </r>
  </si>
  <si>
    <r>
      <t xml:space="preserve">Fmoc-Gly-OH </t>
    </r>
    <r>
      <rPr>
        <b/>
        <sz val="11"/>
        <color theme="1"/>
        <rFont val="Aptos Narrow"/>
        <family val="2"/>
        <scheme val="minor"/>
      </rPr>
      <t>(G)</t>
    </r>
  </si>
  <si>
    <r>
      <t xml:space="preserve">Fmoc-His(Trt)-OH </t>
    </r>
    <r>
      <rPr>
        <b/>
        <sz val="11"/>
        <color theme="1"/>
        <rFont val="Aptos Narrow"/>
        <family val="2"/>
        <scheme val="minor"/>
      </rPr>
      <t>(H)</t>
    </r>
  </si>
  <si>
    <r>
      <t xml:space="preserve">Fmoc-Ile-OH </t>
    </r>
    <r>
      <rPr>
        <b/>
        <sz val="11"/>
        <color theme="1"/>
        <rFont val="Aptos Narrow"/>
        <family val="2"/>
        <scheme val="minor"/>
      </rPr>
      <t>(I)</t>
    </r>
  </si>
  <si>
    <r>
      <t xml:space="preserve">Fmoc-Leu-OH </t>
    </r>
    <r>
      <rPr>
        <b/>
        <sz val="11"/>
        <color theme="1"/>
        <rFont val="Aptos Narrow"/>
        <family val="2"/>
        <scheme val="minor"/>
      </rPr>
      <t>(L)</t>
    </r>
  </si>
  <si>
    <r>
      <t xml:space="preserve">Fmoc-Lys(Boc)-OH </t>
    </r>
    <r>
      <rPr>
        <b/>
        <sz val="11"/>
        <color theme="1"/>
        <rFont val="Aptos Narrow"/>
        <family val="2"/>
        <scheme val="minor"/>
      </rPr>
      <t>(K)</t>
    </r>
  </si>
  <si>
    <r>
      <t xml:space="preserve">Fmoc-Met-OH </t>
    </r>
    <r>
      <rPr>
        <b/>
        <sz val="11"/>
        <color theme="1"/>
        <rFont val="Aptos Narrow"/>
        <family val="2"/>
        <scheme val="minor"/>
      </rPr>
      <t>(M)</t>
    </r>
  </si>
  <si>
    <r>
      <t xml:space="preserve">Fmoc-Phe-OH </t>
    </r>
    <r>
      <rPr>
        <b/>
        <sz val="11"/>
        <color theme="1"/>
        <rFont val="Aptos Narrow"/>
        <family val="2"/>
        <scheme val="minor"/>
      </rPr>
      <t>(F)</t>
    </r>
  </si>
  <si>
    <r>
      <t xml:space="preserve">Fmoc-Pro-OH </t>
    </r>
    <r>
      <rPr>
        <b/>
        <sz val="11"/>
        <color theme="1"/>
        <rFont val="Aptos Narrow"/>
        <family val="2"/>
        <scheme val="minor"/>
      </rPr>
      <t>(P)</t>
    </r>
  </si>
  <si>
    <r>
      <t xml:space="preserve">Fmoc-Ser(tBu)-OH </t>
    </r>
    <r>
      <rPr>
        <b/>
        <sz val="11"/>
        <color theme="1"/>
        <rFont val="Aptos Narrow"/>
        <family val="2"/>
        <scheme val="minor"/>
      </rPr>
      <t>(S)</t>
    </r>
  </si>
  <si>
    <r>
      <t xml:space="preserve">Fmoc-Thr(tBu)-OH </t>
    </r>
    <r>
      <rPr>
        <b/>
        <sz val="11"/>
        <color theme="1"/>
        <rFont val="Aptos Narrow"/>
        <family val="2"/>
        <scheme val="minor"/>
      </rPr>
      <t>(T)</t>
    </r>
  </si>
  <si>
    <r>
      <t xml:space="preserve">Fmoc-Trp(Boc)-OH </t>
    </r>
    <r>
      <rPr>
        <b/>
        <sz val="11"/>
        <color theme="1"/>
        <rFont val="Aptos Narrow"/>
        <family val="2"/>
        <scheme val="minor"/>
      </rPr>
      <t>(W)</t>
    </r>
  </si>
  <si>
    <r>
      <t xml:space="preserve">Fmoc-Tyr(tBu)-OH </t>
    </r>
    <r>
      <rPr>
        <b/>
        <sz val="11"/>
        <color theme="1"/>
        <rFont val="Aptos Narrow"/>
        <family val="2"/>
        <scheme val="minor"/>
      </rPr>
      <t>(Y)</t>
    </r>
  </si>
  <si>
    <r>
      <t xml:space="preserve">Fmoc-Val-OH </t>
    </r>
    <r>
      <rPr>
        <b/>
        <sz val="11"/>
        <color theme="1"/>
        <rFont val="Aptos Narrow"/>
        <family val="2"/>
        <scheme val="minor"/>
      </rPr>
      <t>(V)</t>
    </r>
  </si>
  <si>
    <t>No additive for washing</t>
  </si>
  <si>
    <t xml:space="preserve">TOTAL (g) = </t>
  </si>
  <si>
    <t xml:space="preserve">Resin (g) = </t>
  </si>
  <si>
    <t xml:space="preserve">Amino acids (g) = </t>
  </si>
  <si>
    <t xml:space="preserve">Reagents (g) = </t>
  </si>
  <si>
    <t xml:space="preserve">Solvents (g) = </t>
  </si>
  <si>
    <t xml:space="preserve">PMI = </t>
  </si>
  <si>
    <t xml:space="preserve">cEF = </t>
  </si>
  <si>
    <t>Linker and Reagent</t>
  </si>
  <si>
    <t>20% Piperidine/DMF</t>
  </si>
  <si>
    <t>Cocktail for Fmoc removal</t>
  </si>
  <si>
    <t>20% Morpholine/DMF</t>
  </si>
  <si>
    <t>20% Piperazine/DMF</t>
  </si>
  <si>
    <t xml:space="preserve">Peptide Yield Obtained = </t>
  </si>
  <si>
    <t>Repetition</t>
  </si>
  <si>
    <t>1% OxymaPure in solvent</t>
  </si>
  <si>
    <t>Linker</t>
  </si>
  <si>
    <t>Fmoc rink</t>
  </si>
  <si>
    <t>Chloro trityl</t>
  </si>
  <si>
    <t>mL or Equivalent</t>
  </si>
  <si>
    <t xml:space="preserve">TOTAL REAGENT CONSUMPTION = </t>
  </si>
  <si>
    <t>For coupling (via Precipitation)</t>
  </si>
  <si>
    <t>For coupling (via Extraction)</t>
  </si>
  <si>
    <t>For coupling</t>
  </si>
  <si>
    <t>Tag for LPPS</t>
  </si>
  <si>
    <t xml:space="preserve">Repetition </t>
  </si>
  <si>
    <t>Additives for washing (in gram)</t>
  </si>
  <si>
    <t>HOAt (in gram)</t>
  </si>
  <si>
    <t>HOBt (in gram)</t>
  </si>
  <si>
    <t>Oxyma (in gram)</t>
  </si>
  <si>
    <t>Additives solution in solvent</t>
  </si>
  <si>
    <t>1% Additive in solvent</t>
  </si>
  <si>
    <t>Resin</t>
  </si>
  <si>
    <t xml:space="preserve">Coupling Reagents (g) = </t>
  </si>
  <si>
    <t xml:space="preserve">Yield Obtained (g) = </t>
  </si>
  <si>
    <t xml:space="preserve">Total Waste (g) = </t>
  </si>
  <si>
    <t xml:space="preserve">Peptide Yield Obtained (g) = </t>
  </si>
  <si>
    <t xml:space="preserve">TOTAL REAGENT CONSUMPTION (g) = </t>
  </si>
  <si>
    <t>TOTAL (g) =</t>
  </si>
  <si>
    <t xml:space="preserve">TOTAL SOLVENT CONSUMPTION (g) = </t>
  </si>
  <si>
    <t>EDC.HCl</t>
  </si>
  <si>
    <t>TBDCl</t>
  </si>
  <si>
    <t>20% Base/Solvent</t>
  </si>
  <si>
    <t>Reagent (Density)</t>
  </si>
  <si>
    <t>Others</t>
  </si>
  <si>
    <t>Rink Amide Resin</t>
  </si>
  <si>
    <t>HMPA Resin</t>
  </si>
  <si>
    <t>Seiber Resin</t>
  </si>
  <si>
    <t>Ramage Resin</t>
  </si>
  <si>
    <r>
      <t>Fmoc-Asp(O</t>
    </r>
    <r>
      <rPr>
        <i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 xml:space="preserve">Bu)-OH </t>
    </r>
    <r>
      <rPr>
        <b/>
        <sz val="11"/>
        <color theme="1"/>
        <rFont val="Aptos Narrow"/>
        <family val="2"/>
        <scheme val="minor"/>
      </rPr>
      <t>(D)</t>
    </r>
  </si>
  <si>
    <r>
      <t>Fmoc-Glu(O</t>
    </r>
    <r>
      <rPr>
        <i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 xml:space="preserve">Bu)-OH </t>
    </r>
    <r>
      <rPr>
        <b/>
        <sz val="11"/>
        <color theme="1"/>
        <rFont val="Aptos Narrow"/>
        <family val="2"/>
        <scheme val="minor"/>
      </rPr>
      <t>(E)</t>
    </r>
  </si>
  <si>
    <t>2Me-THF</t>
  </si>
  <si>
    <t xml:space="preserve">DMF </t>
  </si>
  <si>
    <t>EtOAc</t>
  </si>
  <si>
    <t>DCM</t>
  </si>
  <si>
    <t>GVL</t>
  </si>
  <si>
    <t>NMP</t>
  </si>
  <si>
    <t>NBP</t>
  </si>
  <si>
    <t>0.1 N HCl</t>
  </si>
  <si>
    <t>NaHCO3</t>
  </si>
  <si>
    <t>Brine solution</t>
  </si>
  <si>
    <t>Water</t>
  </si>
  <si>
    <t>Coupling Reagent Details</t>
  </si>
  <si>
    <t>Fmoc removal cocktail with Density</t>
  </si>
  <si>
    <t>PyOxim</t>
  </si>
  <si>
    <t>PyBOP</t>
  </si>
  <si>
    <t>PyBrOP</t>
  </si>
  <si>
    <t>PyHOPO</t>
  </si>
  <si>
    <t>Coupling reagent 1 (if any not mentioned in the list)</t>
  </si>
  <si>
    <t>Coupling reagent 2 (if any not mentioned in the list)</t>
  </si>
  <si>
    <t>20%PIP/DMF</t>
  </si>
  <si>
    <t>20% 4MP/DMF</t>
  </si>
  <si>
    <t>Piperazine</t>
  </si>
  <si>
    <t>Morpholine</t>
  </si>
  <si>
    <t>Piperidine</t>
  </si>
  <si>
    <t>Reagent</t>
  </si>
  <si>
    <t xml:space="preserve">Fmoc removal cocktail  </t>
  </si>
  <si>
    <t xml:space="preserve">Solvent </t>
  </si>
  <si>
    <t>ACN</t>
  </si>
  <si>
    <t>Any other solvent</t>
  </si>
  <si>
    <t>For reaction</t>
  </si>
  <si>
    <t>For Workup</t>
  </si>
  <si>
    <r>
      <rPr>
        <i/>
        <sz val="11"/>
        <color theme="7" tint="-0.249977111117893"/>
        <rFont val="Aptos Narrow"/>
        <family val="2"/>
        <scheme val="minor"/>
      </rPr>
      <t>in situ</t>
    </r>
    <r>
      <rPr>
        <sz val="11"/>
        <color theme="7" tint="-0.249977111117893"/>
        <rFont val="Aptos Narrow"/>
        <family val="2"/>
        <scheme val="minor"/>
      </rPr>
      <t xml:space="preserve"> Fmoc removal</t>
    </r>
  </si>
  <si>
    <r>
      <rPr>
        <b/>
        <i/>
        <sz val="11"/>
        <color rgb="FF00B050"/>
        <rFont val="Aptos Narrow"/>
        <family val="2"/>
        <scheme val="minor"/>
      </rPr>
      <t>In situ</t>
    </r>
    <r>
      <rPr>
        <b/>
        <sz val="11"/>
        <color rgb="FF00B050"/>
        <rFont val="Aptos Narrow"/>
        <family val="2"/>
        <scheme val="minor"/>
      </rPr>
      <t xml:space="preserve"> Fmoc removal</t>
    </r>
  </si>
  <si>
    <r>
      <t>Base for Fmoc removal (</t>
    </r>
    <r>
      <rPr>
        <b/>
        <i/>
        <sz val="11"/>
        <color rgb="FF00B050"/>
        <rFont val="Aptos Narrow"/>
        <family val="2"/>
        <scheme val="minor"/>
      </rPr>
      <t>In Situ</t>
    </r>
    <r>
      <rPr>
        <b/>
        <sz val="11"/>
        <color rgb="FF00B050"/>
        <rFont val="Aptos Narrow"/>
        <family val="2"/>
        <scheme val="minor"/>
      </rPr>
      <t>)</t>
    </r>
  </si>
  <si>
    <t>Washing after Coupling</t>
  </si>
  <si>
    <t>Washing after Fmoc Removal</t>
  </si>
  <si>
    <t>Lewis acid in DMC</t>
  </si>
  <si>
    <t>Lewis acid in ACN</t>
  </si>
  <si>
    <t>Cocktail</t>
  </si>
  <si>
    <t>TFA:TIS:Water</t>
  </si>
  <si>
    <t>MSA:FA</t>
  </si>
  <si>
    <t>TMSCl:FA</t>
  </si>
  <si>
    <t>Peptide Precipitation</t>
  </si>
  <si>
    <t>MTBE</t>
  </si>
  <si>
    <t>CPME</t>
  </si>
  <si>
    <t>Ether</t>
  </si>
  <si>
    <t>AceticAcid/Water</t>
  </si>
  <si>
    <t>In situ Fmoc removal</t>
  </si>
  <si>
    <t>Any other base/cocktail</t>
  </si>
  <si>
    <t>Swelling</t>
  </si>
  <si>
    <t>Washing after Swelling</t>
  </si>
  <si>
    <t>Flow Rate (mL/min)</t>
  </si>
  <si>
    <t>4-Methylpiperidine</t>
  </si>
  <si>
    <t>Noki's (ETB) linker</t>
  </si>
  <si>
    <t xml:space="preserve">Tag+Linker (g) = </t>
  </si>
  <si>
    <t>Coupling (Linker)</t>
  </si>
  <si>
    <t>Mol. Wt. / Molar Sol.</t>
  </si>
  <si>
    <t>T3P in EtOAc (Molar Sol)</t>
  </si>
  <si>
    <t>Only for molar solution</t>
  </si>
  <si>
    <t>Washing after Linker Attachment</t>
  </si>
  <si>
    <t>Washing after Fmoc removal</t>
  </si>
  <si>
    <t>or Any other resin (not in the list)</t>
  </si>
  <si>
    <t>Any other linker</t>
  </si>
  <si>
    <t>SECTION 1A-TL&amp;P (TAG DETAILS and PRODUCT OBTAINED)</t>
  </si>
  <si>
    <t>SECTION 1B-TL&amp;P (Linker Details)</t>
  </si>
  <si>
    <t>SECTION 2-AA (AMINO ACIDS)</t>
  </si>
  <si>
    <t>SECTION 3A-CR&amp;D (Linker Coupling)</t>
  </si>
  <si>
    <t>SECTION 3A-CR&amp;D (Amino acid Coupling)</t>
  </si>
  <si>
    <t>SECTION 3B-CR&amp;D (Fmoc removal)</t>
  </si>
  <si>
    <t>SECTION 5-FC (FINAL CALCULATIONS)</t>
  </si>
  <si>
    <t>SECTION 1-R&amp;P (RESIN DETAILS and PRODUCT OBTAINED)</t>
  </si>
  <si>
    <t>SECTION 1-TL&amp;P (TAG, PRODUCT OBTAINED AND LINKER DETAILS)</t>
  </si>
  <si>
    <t>SECTION 3-CR&amp;D (COUPLING REAGENTS/ADDITIVES and Deprotection DETAILS)</t>
  </si>
  <si>
    <t>SECTION 4-SOL (SOLVENT DETAILS)</t>
  </si>
  <si>
    <t>Solvent not in the list</t>
  </si>
  <si>
    <t>Any other cocktail</t>
  </si>
  <si>
    <t>Any other ether/solvent</t>
  </si>
  <si>
    <t xml:space="preserve">Peptide (g) = </t>
  </si>
  <si>
    <t>SECTION 2-AA (AMINO ACID DETAILS)</t>
  </si>
  <si>
    <t>SECTION 4A-SOL (During Coupling)</t>
  </si>
  <si>
    <t>SECTION 4C-SOL (After Peptide Synthesis)</t>
  </si>
  <si>
    <t>SECTION 4D-SOL (Purification)</t>
  </si>
  <si>
    <t>SECTION 4D-SOL (Sample Preparation)</t>
  </si>
  <si>
    <t>SECTION4A-SOL (During Preperation)</t>
  </si>
  <si>
    <t>SECTION4B-SOL (During Reaction for Coupling)</t>
  </si>
  <si>
    <t>SECTION4C-SOL (After Coupling and/or Deprotection)</t>
  </si>
  <si>
    <t>SECTION4D-SOL (After Peptide Synthesis)</t>
  </si>
  <si>
    <t>SECTION4E-SOL (Sample Preparation)</t>
  </si>
  <si>
    <t>SECTION4E-SOL (Purification)</t>
  </si>
  <si>
    <t>SECTION 4B-SOL (After coupling and/or deprotection)</t>
  </si>
  <si>
    <t>20%PIP/TEP</t>
  </si>
  <si>
    <t>20%PIP/ACN</t>
  </si>
  <si>
    <t>20%PIP/EtOAc</t>
  </si>
  <si>
    <t>20%PIP/Acetone</t>
  </si>
  <si>
    <t>20%PIP/THF</t>
  </si>
  <si>
    <t>20%PIP/2Me-THF</t>
  </si>
  <si>
    <t>Amino methyl (AM) Resin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</si>
</sst>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44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2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2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name val="Aptos Narrow"/>
      <family val="2"/>
      <scheme val="minor"/>
    </font>
    <font>
      <b/>
      <sz val="14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rgb="FF0070C0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b/>
      <sz val="11"/>
      <color rgb="FF7030A0"/>
      <name val="Aptos Narrow"/>
      <family val="2"/>
      <scheme val="minor"/>
    </font>
    <font>
      <sz val="11"/>
      <color rgb="FF7030A0"/>
      <name val="Aptos Narrow"/>
      <family val="2"/>
      <scheme val="minor"/>
    </font>
    <font>
      <b/>
      <sz val="11"/>
      <color rgb="FF00B050"/>
      <name val="Aptos Narrow"/>
      <family val="2"/>
      <scheme val="minor"/>
    </font>
    <font>
      <sz val="11"/>
      <color rgb="FF00B050"/>
      <name val="Aptos Narrow"/>
      <family val="2"/>
      <scheme val="minor"/>
    </font>
    <font>
      <b/>
      <sz val="11"/>
      <color theme="5" tint="-0.249977111117893"/>
      <name val="Aptos Narrow"/>
      <family val="2"/>
      <scheme val="minor"/>
    </font>
    <font>
      <sz val="11"/>
      <color theme="5" tint="-0.249977111117893"/>
      <name val="Aptos Narrow"/>
      <family val="2"/>
      <scheme val="minor"/>
    </font>
    <font>
      <sz val="11"/>
      <color theme="7" tint="-0.249977111117893"/>
      <name val="Aptos Narrow"/>
      <family val="2"/>
      <scheme val="minor"/>
    </font>
    <font>
      <b/>
      <sz val="11"/>
      <color theme="7" tint="-0.249977111117893"/>
      <name val="Aptos Narrow"/>
      <family val="2"/>
      <scheme val="minor"/>
    </font>
    <font>
      <i/>
      <sz val="11"/>
      <color theme="7" tint="-0.249977111117893"/>
      <name val="Aptos Narrow"/>
      <family val="2"/>
      <scheme val="minor"/>
    </font>
    <font>
      <b/>
      <i/>
      <sz val="11"/>
      <color rgb="FF00B050"/>
      <name val="Aptos Narrow"/>
      <family val="2"/>
      <scheme val="minor"/>
    </font>
    <font>
      <b/>
      <sz val="11"/>
      <color rgb="FF00B0F0"/>
      <name val="Aptos Narrow"/>
      <family val="2"/>
      <scheme val="minor"/>
    </font>
    <font>
      <sz val="11"/>
      <color rgb="FF00B0F0"/>
      <name val="Aptos Narrow"/>
      <family val="2"/>
      <scheme val="minor"/>
    </font>
    <font>
      <b/>
      <sz val="11"/>
      <color rgb="FF002060"/>
      <name val="Aptos Narrow"/>
      <family val="2"/>
      <scheme val="minor"/>
    </font>
    <font>
      <sz val="11"/>
      <color rgb="FF002060"/>
      <name val="Aptos Narrow"/>
      <family val="2"/>
      <scheme val="minor"/>
    </font>
    <font>
      <b/>
      <sz val="11"/>
      <color rgb="FFFF0066"/>
      <name val="Aptos Narrow"/>
      <family val="2"/>
      <scheme val="minor"/>
    </font>
    <font>
      <sz val="11"/>
      <color rgb="FFFF0066"/>
      <name val="Aptos Narrow"/>
      <family val="2"/>
      <scheme val="minor"/>
    </font>
    <font>
      <b/>
      <sz val="11"/>
      <color rgb="FFFFC000"/>
      <name val="Aptos Narrow"/>
      <family val="2"/>
      <scheme val="minor"/>
    </font>
    <font>
      <sz val="11"/>
      <color rgb="FFFFC000"/>
      <name val="Aptos Narrow"/>
      <family val="2"/>
      <scheme val="minor"/>
    </font>
    <font>
      <sz val="11"/>
      <color rgb="FFC00000"/>
      <name val="Aptos Narrow"/>
      <family val="2"/>
      <scheme val="minor"/>
    </font>
    <font>
      <b/>
      <sz val="14"/>
      <color rgb="FFC00000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b/>
      <sz val="12"/>
      <color rgb="FFC00000"/>
      <name val="Aptos Narrow"/>
      <family val="2"/>
      <scheme val="minor"/>
    </font>
    <font>
      <sz val="10"/>
      <color rgb="FFC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7E1F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DF7E1"/>
        <bgColor indexed="64"/>
      </patternFill>
    </fill>
    <fill>
      <patternFill patternType="solid">
        <fgColor rgb="FFEDF8FD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5">
    <xf numFmtId="0" fontId="0" fillId="0" borderId="0" xfId="0"/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/>
    <xf numFmtId="0" fontId="0" fillId="2" borderId="1" xfId="0" applyFill="1" applyBorder="1" applyAlignment="1">
      <alignment horizont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8" fillId="6" borderId="1" xfId="0" applyFont="1" applyFill="1" applyBorder="1" applyAlignment="1">
      <alignment horizontal="center" vertical="center"/>
    </xf>
    <xf numFmtId="0" fontId="0" fillId="3" borderId="3" xfId="0" applyFill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3" borderId="3" xfId="0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2" fontId="11" fillId="6" borderId="1" xfId="0" applyNumberFormat="1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2" fontId="9" fillId="4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13" fillId="2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2" fontId="11" fillId="4" borderId="1" xfId="0" applyNumberFormat="1" applyFont="1" applyFill="1" applyBorder="1" applyAlignment="1">
      <alignment horizontal="center" vertical="center"/>
    </xf>
    <xf numFmtId="0" fontId="10" fillId="8" borderId="1" xfId="0" applyFont="1" applyFill="1" applyBorder="1"/>
    <xf numFmtId="0" fontId="14" fillId="8" borderId="1" xfId="0" applyFont="1" applyFill="1" applyBorder="1"/>
    <xf numFmtId="2" fontId="14" fillId="8" borderId="1" xfId="0" applyNumberFormat="1" applyFont="1" applyFill="1" applyBorder="1" applyAlignment="1">
      <alignment horizontal="right"/>
    </xf>
    <xf numFmtId="2" fontId="8" fillId="6" borderId="1" xfId="0" applyNumberFormat="1" applyFont="1" applyFill="1" applyBorder="1" applyAlignment="1">
      <alignment horizontal="center" vertical="center"/>
    </xf>
    <xf numFmtId="0" fontId="15" fillId="8" borderId="1" xfId="0" applyFont="1" applyFill="1" applyBorder="1"/>
    <xf numFmtId="2" fontId="16" fillId="8" borderId="1" xfId="0" applyNumberFormat="1" applyFont="1" applyFill="1" applyBorder="1" applyAlignment="1">
      <alignment horizontal="right" vertical="center"/>
    </xf>
    <xf numFmtId="0" fontId="16" fillId="8" borderId="1" xfId="0" applyFont="1" applyFill="1" applyBorder="1"/>
    <xf numFmtId="164" fontId="16" fillId="8" borderId="1" xfId="0" applyNumberFormat="1" applyFont="1" applyFill="1" applyBorder="1" applyAlignment="1">
      <alignment horizontal="right" vertical="center"/>
    </xf>
    <xf numFmtId="164" fontId="10" fillId="8" borderId="1" xfId="0" applyNumberFormat="1" applyFont="1" applyFill="1" applyBorder="1" applyAlignment="1">
      <alignment horizontal="right"/>
    </xf>
    <xf numFmtId="2" fontId="0" fillId="3" borderId="1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wrapText="1"/>
    </xf>
    <xf numFmtId="2" fontId="9" fillId="5" borderId="1" xfId="0" applyNumberFormat="1" applyFont="1" applyFill="1" applyBorder="1" applyAlignment="1">
      <alignment horizontal="center" vertical="center"/>
    </xf>
    <xf numFmtId="0" fontId="2" fillId="0" borderId="0" xfId="0" applyFont="1"/>
    <xf numFmtId="165" fontId="0" fillId="0" borderId="0" xfId="0" applyNumberFormat="1"/>
    <xf numFmtId="2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2" fontId="2" fillId="4" borderId="1" xfId="0" applyNumberFormat="1" applyFont="1" applyFill="1" applyBorder="1" applyAlignment="1">
      <alignment horizontal="center" vertical="center"/>
    </xf>
    <xf numFmtId="0" fontId="17" fillId="0" borderId="0" xfId="0" applyFont="1"/>
    <xf numFmtId="2" fontId="17" fillId="0" borderId="0" xfId="0" applyNumberFormat="1" applyFont="1" applyAlignment="1">
      <alignment horizontal="left"/>
    </xf>
    <xf numFmtId="0" fontId="0" fillId="9" borderId="1" xfId="0" applyFill="1" applyBorder="1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horizontal="left" vertical="center"/>
    </xf>
    <xf numFmtId="0" fontId="22" fillId="0" borderId="0" xfId="0" applyFont="1"/>
    <xf numFmtId="0" fontId="22" fillId="0" borderId="0" xfId="0" applyFont="1" applyAlignment="1">
      <alignment horizontal="left" vertical="center"/>
    </xf>
    <xf numFmtId="0" fontId="24" fillId="0" borderId="0" xfId="0" applyFont="1"/>
    <xf numFmtId="0" fontId="24" fillId="0" borderId="0" xfId="0" applyFont="1" applyAlignment="1">
      <alignment horizontal="left" vertical="center"/>
    </xf>
    <xf numFmtId="0" fontId="26" fillId="0" borderId="0" xfId="0" applyFont="1"/>
    <xf numFmtId="165" fontId="26" fillId="0" borderId="0" xfId="0" applyNumberFormat="1" applyFont="1" applyAlignment="1">
      <alignment horizontal="left" vertical="center"/>
    </xf>
    <xf numFmtId="165" fontId="26" fillId="0" borderId="0" xfId="0" applyNumberFormat="1" applyFont="1"/>
    <xf numFmtId="0" fontId="27" fillId="0" borderId="0" xfId="0" applyFont="1"/>
    <xf numFmtId="165" fontId="27" fillId="0" borderId="0" xfId="0" applyNumberFormat="1" applyFont="1" applyAlignment="1">
      <alignment horizontal="left"/>
    </xf>
    <xf numFmtId="165" fontId="27" fillId="0" borderId="0" xfId="0" applyNumberFormat="1" applyFont="1"/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165" fontId="22" fillId="0" borderId="0" xfId="0" applyNumberFormat="1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2" fillId="0" borderId="0" xfId="0" applyFont="1"/>
    <xf numFmtId="0" fontId="32" fillId="0" borderId="0" xfId="0" applyFont="1" applyAlignment="1">
      <alignment horizontal="left" vertical="center"/>
    </xf>
    <xf numFmtId="0" fontId="34" fillId="0" borderId="0" xfId="0" applyFont="1"/>
    <xf numFmtId="0" fontId="17" fillId="0" borderId="0" xfId="0" applyFont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7" fillId="0" borderId="0" xfId="0" applyFont="1"/>
    <xf numFmtId="0" fontId="38" fillId="0" borderId="0" xfId="0" applyFont="1" applyAlignment="1">
      <alignment horizontal="left" vertical="center"/>
    </xf>
    <xf numFmtId="2" fontId="9" fillId="4" borderId="3" xfId="0" applyNumberFormat="1" applyFont="1" applyFill="1" applyBorder="1" applyAlignment="1">
      <alignment horizontal="center" vertical="center"/>
    </xf>
    <xf numFmtId="2" fontId="15" fillId="8" borderId="1" xfId="0" applyNumberFormat="1" applyFont="1" applyFill="1" applyBorder="1" applyAlignment="1">
      <alignment horizontal="right" vertical="center"/>
    </xf>
    <xf numFmtId="0" fontId="37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165" fontId="34" fillId="0" borderId="0" xfId="0" applyNumberFormat="1" applyFont="1" applyAlignment="1">
      <alignment horizontal="left" vertical="center"/>
    </xf>
    <xf numFmtId="165" fontId="27" fillId="0" borderId="0" xfId="0" applyNumberFormat="1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2" fontId="11" fillId="0" borderId="0" xfId="0" applyNumberFormat="1" applyFont="1" applyAlignment="1">
      <alignment horizontal="center" vertical="center"/>
    </xf>
    <xf numFmtId="0" fontId="0" fillId="3" borderId="4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13" fillId="10" borderId="1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 wrapText="1"/>
    </xf>
    <xf numFmtId="2" fontId="0" fillId="0" borderId="0" xfId="0" applyNumberFormat="1"/>
    <xf numFmtId="2" fontId="9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41" fillId="0" borderId="0" xfId="0" applyFont="1" applyAlignment="1">
      <alignment horizontal="center" vertical="center"/>
    </xf>
    <xf numFmtId="0" fontId="39" fillId="0" borderId="0" xfId="0" applyFont="1" applyAlignment="1">
      <alignment horizontal="left"/>
    </xf>
    <xf numFmtId="0" fontId="39" fillId="0" borderId="0" xfId="0" applyFont="1" applyAlignment="1">
      <alignment horizontal="left" vertical="center"/>
    </xf>
    <xf numFmtId="0" fontId="40" fillId="0" borderId="0" xfId="0" applyFont="1" applyAlignment="1">
      <alignment horizontal="left" vertical="center"/>
    </xf>
    <xf numFmtId="0" fontId="41" fillId="3" borderId="1" xfId="0" applyFont="1" applyFill="1" applyBorder="1" applyAlignment="1">
      <alignment horizontal="left" vertical="center"/>
    </xf>
    <xf numFmtId="2" fontId="41" fillId="5" borderId="1" xfId="0" applyNumberFormat="1" applyFont="1" applyFill="1" applyBorder="1" applyAlignment="1">
      <alignment horizontal="left" vertical="center"/>
    </xf>
    <xf numFmtId="2" fontId="42" fillId="6" borderId="1" xfId="0" applyNumberFormat="1" applyFont="1" applyFill="1" applyBorder="1" applyAlignment="1">
      <alignment horizontal="left" vertical="center"/>
    </xf>
    <xf numFmtId="2" fontId="41" fillId="4" borderId="1" xfId="0" applyNumberFormat="1" applyFont="1" applyFill="1" applyBorder="1" applyAlignment="1">
      <alignment horizontal="left" vertical="center"/>
    </xf>
    <xf numFmtId="0" fontId="42" fillId="0" borderId="0" xfId="0" applyFont="1" applyAlignment="1">
      <alignment horizontal="left"/>
    </xf>
    <xf numFmtId="2" fontId="41" fillId="4" borderId="3" xfId="0" applyNumberFormat="1" applyFont="1" applyFill="1" applyBorder="1" applyAlignment="1">
      <alignment horizontal="left" vertical="center"/>
    </xf>
    <xf numFmtId="2" fontId="42" fillId="6" borderId="0" xfId="0" applyNumberFormat="1" applyFont="1" applyFill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39" fillId="0" borderId="8" xfId="0" applyFont="1" applyBorder="1" applyAlignment="1">
      <alignment vertical="center" wrapText="1"/>
    </xf>
    <xf numFmtId="0" fontId="39" fillId="0" borderId="0" xfId="0" applyFont="1" applyAlignment="1">
      <alignment vertical="center" wrapText="1"/>
    </xf>
    <xf numFmtId="0" fontId="10" fillId="7" borderId="1" xfId="0" applyFont="1" applyFill="1" applyBorder="1" applyAlignment="1">
      <alignment horizontal="center" wrapText="1"/>
    </xf>
    <xf numFmtId="0" fontId="11" fillId="6" borderId="4" xfId="0" applyFont="1" applyFill="1" applyBorder="1" applyAlignment="1">
      <alignment horizontal="right" vertical="center"/>
    </xf>
    <xf numFmtId="0" fontId="11" fillId="6" borderId="6" xfId="0" applyFont="1" applyFill="1" applyBorder="1" applyAlignment="1">
      <alignment horizontal="right" vertical="center"/>
    </xf>
    <xf numFmtId="0" fontId="11" fillId="6" borderId="5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right" vertical="center"/>
    </xf>
    <xf numFmtId="0" fontId="2" fillId="3" borderId="5" xfId="0" applyFont="1" applyFill="1" applyBorder="1" applyAlignment="1">
      <alignment horizontal="right" vertical="center"/>
    </xf>
    <xf numFmtId="0" fontId="8" fillId="3" borderId="4" xfId="0" applyFont="1" applyFill="1" applyBorder="1" applyAlignment="1">
      <alignment horizontal="right" vertical="center"/>
    </xf>
    <xf numFmtId="0" fontId="8" fillId="3" borderId="6" xfId="0" applyFont="1" applyFill="1" applyBorder="1" applyAlignment="1">
      <alignment horizontal="right" vertical="center"/>
    </xf>
    <xf numFmtId="0" fontId="8" fillId="3" borderId="5" xfId="0" applyFont="1" applyFill="1" applyBorder="1" applyAlignment="1">
      <alignment horizontal="right" vertical="center"/>
    </xf>
    <xf numFmtId="0" fontId="8" fillId="7" borderId="4" xfId="0" applyFont="1" applyFill="1" applyBorder="1" applyAlignment="1">
      <alignment horizontal="center" vertical="center"/>
    </xf>
    <xf numFmtId="0" fontId="8" fillId="7" borderId="6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8" fillId="7" borderId="4" xfId="0" applyFont="1" applyFill="1" applyBorder="1" applyAlignment="1">
      <alignment horizontal="center"/>
    </xf>
    <xf numFmtId="0" fontId="8" fillId="7" borderId="6" xfId="0" applyFont="1" applyFill="1" applyBorder="1" applyAlignment="1">
      <alignment horizontal="center"/>
    </xf>
    <xf numFmtId="0" fontId="8" fillId="7" borderId="5" xfId="0" applyFont="1" applyFill="1" applyBorder="1" applyAlignment="1">
      <alignment horizontal="center"/>
    </xf>
    <xf numFmtId="0" fontId="0" fillId="3" borderId="7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0" fillId="3" borderId="4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left" wrapText="1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10" fillId="7" borderId="4" xfId="0" applyFont="1" applyFill="1" applyBorder="1" applyAlignment="1">
      <alignment horizontal="center"/>
    </xf>
    <xf numFmtId="0" fontId="10" fillId="7" borderId="6" xfId="0" applyFont="1" applyFill="1" applyBorder="1" applyAlignment="1">
      <alignment horizontal="center"/>
    </xf>
    <xf numFmtId="0" fontId="10" fillId="7" borderId="5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right"/>
    </xf>
    <xf numFmtId="0" fontId="2" fillId="3" borderId="6" xfId="0" applyFont="1" applyFill="1" applyBorder="1" applyAlignment="1">
      <alignment horizontal="right"/>
    </xf>
    <xf numFmtId="0" fontId="2" fillId="3" borderId="5" xfId="0" applyFont="1" applyFill="1" applyBorder="1" applyAlignment="1">
      <alignment horizontal="right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2" fontId="9" fillId="4" borderId="2" xfId="0" applyNumberFormat="1" applyFont="1" applyFill="1" applyBorder="1" applyAlignment="1">
      <alignment horizontal="center" vertical="center"/>
    </xf>
    <xf numFmtId="2" fontId="9" fillId="4" borderId="3" xfId="0" applyNumberFormat="1" applyFont="1" applyFill="1" applyBorder="1" applyAlignment="1">
      <alignment horizontal="center" vertical="center"/>
    </xf>
    <xf numFmtId="0" fontId="33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35" fillId="0" borderId="0" xfId="0" applyFont="1" applyAlignment="1">
      <alignment horizontal="center" vertical="center"/>
    </xf>
    <xf numFmtId="0" fontId="37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8" fillId="7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8FD"/>
      <color rgb="FFDCF3FC"/>
      <color rgb="FFDDF7E1"/>
      <color rgb="FFFF0066"/>
      <color rgb="FFF7E1F5"/>
      <color rgb="FFD2C0EE"/>
      <color rgb="FFFFFFDD"/>
      <color rgb="FF5525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21D12-5180-45F9-AC0C-FEB9BC2DD5C8}">
  <dimension ref="A2:AE48"/>
  <sheetViews>
    <sheetView zoomScale="85" zoomScaleNormal="85" workbookViewId="0">
      <selection activeCell="B17" sqref="B17"/>
    </sheetView>
  </sheetViews>
  <sheetFormatPr defaultRowHeight="14.5" x14ac:dyDescent="0.35"/>
  <cols>
    <col min="1" max="1" width="22.1796875" customWidth="1"/>
    <col min="2" max="2" width="16.90625" customWidth="1"/>
    <col min="3" max="3" width="11.26953125" customWidth="1"/>
    <col min="4" max="4" width="21.1796875" customWidth="1"/>
    <col min="5" max="5" width="8.7265625" customWidth="1"/>
    <col min="6" max="6" width="10.453125" customWidth="1"/>
    <col min="7" max="7" width="8.81640625" customWidth="1"/>
    <col min="8" max="8" width="9.6328125" customWidth="1"/>
    <col min="9" max="9" width="8.36328125" customWidth="1"/>
    <col min="10" max="10" width="19.90625" customWidth="1"/>
    <col min="11" max="11" width="10.453125" customWidth="1"/>
    <col min="12" max="12" width="18.36328125" customWidth="1"/>
    <col min="13" max="13" width="8" customWidth="1"/>
    <col min="14" max="14" width="9.1796875" customWidth="1"/>
    <col min="15" max="15" width="8.54296875" customWidth="1"/>
    <col min="16" max="16" width="7.7265625" customWidth="1"/>
    <col min="17" max="17" width="17.81640625" customWidth="1"/>
    <col min="18" max="18" width="7.90625" customWidth="1"/>
    <col min="19" max="19" width="19.1796875" customWidth="1"/>
    <col min="20" max="20" width="7.7265625" customWidth="1"/>
    <col min="21" max="21" width="20.81640625" customWidth="1"/>
    <col min="22" max="22" width="27.1796875" customWidth="1"/>
    <col min="23" max="23" width="23.08984375" customWidth="1"/>
    <col min="24" max="24" width="16.36328125" customWidth="1"/>
    <col min="25" max="25" width="10.81640625" customWidth="1"/>
    <col min="26" max="26" width="12" customWidth="1"/>
    <col min="27" max="27" width="9.7265625" customWidth="1"/>
    <col min="28" max="28" width="15.26953125" customWidth="1"/>
    <col min="30" max="30" width="26.81640625" customWidth="1"/>
    <col min="31" max="31" width="24.08984375" customWidth="1"/>
  </cols>
  <sheetData>
    <row r="2" spans="1:31" x14ac:dyDescent="0.35">
      <c r="D2" s="174" t="s">
        <v>134</v>
      </c>
      <c r="E2" s="174"/>
      <c r="F2" s="180" t="s">
        <v>21</v>
      </c>
      <c r="G2" s="180"/>
      <c r="H2" s="182" t="s">
        <v>29</v>
      </c>
      <c r="I2" s="182"/>
      <c r="J2" s="179" t="s">
        <v>135</v>
      </c>
      <c r="K2" s="179"/>
      <c r="L2" s="181" t="s">
        <v>156</v>
      </c>
      <c r="M2" s="181"/>
      <c r="N2" s="181"/>
      <c r="O2" s="177" t="s">
        <v>152</v>
      </c>
      <c r="P2" s="177"/>
      <c r="Q2" s="178" t="s">
        <v>153</v>
      </c>
      <c r="R2" s="178"/>
      <c r="S2" s="173" t="s">
        <v>102</v>
      </c>
      <c r="T2" s="173"/>
      <c r="U2" s="52" t="s">
        <v>47</v>
      </c>
      <c r="V2" s="52" t="s">
        <v>98</v>
      </c>
      <c r="W2" s="52" t="s">
        <v>35</v>
      </c>
      <c r="X2" s="174" t="s">
        <v>38</v>
      </c>
      <c r="Y2" s="174"/>
      <c r="Z2" s="175" t="s">
        <v>165</v>
      </c>
      <c r="AA2" s="175"/>
      <c r="AB2" s="176" t="s">
        <v>41</v>
      </c>
      <c r="AC2" s="176"/>
      <c r="AD2" s="52" t="s">
        <v>95</v>
      </c>
      <c r="AE2" s="52" t="s">
        <v>82</v>
      </c>
    </row>
    <row r="3" spans="1:31" x14ac:dyDescent="0.35">
      <c r="A3" s="74" t="s">
        <v>7</v>
      </c>
      <c r="B3" s="74" t="s">
        <v>88</v>
      </c>
      <c r="C3" s="74" t="s">
        <v>11</v>
      </c>
      <c r="D3" s="75" t="s">
        <v>2</v>
      </c>
      <c r="E3" s="75" t="s">
        <v>11</v>
      </c>
      <c r="F3" s="76" t="s">
        <v>21</v>
      </c>
      <c r="G3" s="76" t="s">
        <v>11</v>
      </c>
      <c r="H3" s="81" t="s">
        <v>29</v>
      </c>
      <c r="I3" s="81" t="s">
        <v>11</v>
      </c>
      <c r="J3" s="73" t="s">
        <v>148</v>
      </c>
      <c r="K3" s="73" t="s">
        <v>4</v>
      </c>
      <c r="L3" s="77" t="s">
        <v>155</v>
      </c>
      <c r="M3" s="77" t="s">
        <v>4</v>
      </c>
      <c r="N3" s="77" t="s">
        <v>11</v>
      </c>
      <c r="O3" s="78" t="s">
        <v>149</v>
      </c>
      <c r="P3" s="78" t="s">
        <v>4</v>
      </c>
      <c r="Q3" s="79" t="s">
        <v>3</v>
      </c>
      <c r="R3" s="79" t="s">
        <v>4</v>
      </c>
      <c r="S3" s="84" t="s">
        <v>103</v>
      </c>
      <c r="T3" s="93" t="s">
        <v>4</v>
      </c>
      <c r="U3" t="s">
        <v>49</v>
      </c>
      <c r="V3" t="s">
        <v>99</v>
      </c>
      <c r="W3" t="s">
        <v>12</v>
      </c>
      <c r="X3" s="72" t="s">
        <v>161</v>
      </c>
      <c r="Y3" s="72" t="s">
        <v>4</v>
      </c>
      <c r="Z3" s="86" t="s">
        <v>168</v>
      </c>
      <c r="AA3" s="86" t="s">
        <v>4</v>
      </c>
      <c r="AB3" s="88" t="s">
        <v>149</v>
      </c>
      <c r="AC3" s="92" t="s">
        <v>4</v>
      </c>
      <c r="AD3" t="s">
        <v>93</v>
      </c>
      <c r="AE3" t="s">
        <v>114</v>
      </c>
    </row>
    <row r="4" spans="1:31" x14ac:dyDescent="0.35">
      <c r="A4" t="s">
        <v>104</v>
      </c>
      <c r="B4" s="97" t="s">
        <v>89</v>
      </c>
      <c r="C4" s="97">
        <v>539.58000000000004</v>
      </c>
      <c r="D4" s="57" t="s">
        <v>1</v>
      </c>
      <c r="E4" s="58">
        <v>126.2</v>
      </c>
      <c r="F4" s="60" t="s">
        <v>27</v>
      </c>
      <c r="G4" s="61">
        <v>136.11000000000001</v>
      </c>
      <c r="H4" s="82" t="s">
        <v>30</v>
      </c>
      <c r="I4" s="83">
        <v>129.24</v>
      </c>
      <c r="J4" s="62" t="s">
        <v>142</v>
      </c>
      <c r="K4" s="80">
        <v>0.93</v>
      </c>
      <c r="L4" s="64" t="s">
        <v>146</v>
      </c>
      <c r="M4" s="65">
        <v>0.86199999999999999</v>
      </c>
      <c r="N4" s="65">
        <v>85.15</v>
      </c>
      <c r="O4" s="66" t="s">
        <v>123</v>
      </c>
      <c r="P4" s="67">
        <v>0.85399999999999998</v>
      </c>
      <c r="Q4" s="69" t="s">
        <v>123</v>
      </c>
      <c r="R4" s="70">
        <v>0.85399999999999998</v>
      </c>
      <c r="S4" s="84" t="s">
        <v>36</v>
      </c>
      <c r="T4" s="94">
        <v>0.94399999999999995</v>
      </c>
      <c r="U4" t="s">
        <v>48</v>
      </c>
      <c r="V4" t="s">
        <v>100</v>
      </c>
      <c r="W4" t="s">
        <v>36</v>
      </c>
      <c r="X4" s="57" t="s">
        <v>162</v>
      </c>
      <c r="Y4" s="85">
        <v>1.49</v>
      </c>
      <c r="Z4" s="87" t="s">
        <v>14</v>
      </c>
      <c r="AA4" s="87">
        <v>0.70599999999999996</v>
      </c>
      <c r="AB4" s="89" t="s">
        <v>133</v>
      </c>
      <c r="AC4" s="89">
        <v>1</v>
      </c>
      <c r="AD4" t="s">
        <v>94</v>
      </c>
      <c r="AE4" t="s">
        <v>83</v>
      </c>
    </row>
    <row r="5" spans="1:31" x14ac:dyDescent="0.35">
      <c r="A5" t="s">
        <v>117</v>
      </c>
      <c r="B5" s="97" t="s">
        <v>90</v>
      </c>
      <c r="C5" s="97">
        <v>313.22000000000003</v>
      </c>
      <c r="D5" s="57" t="s">
        <v>112</v>
      </c>
      <c r="E5" s="58">
        <v>191.7</v>
      </c>
      <c r="F5" s="60" t="s">
        <v>0</v>
      </c>
      <c r="G5" s="61">
        <v>135.12</v>
      </c>
      <c r="H5" s="82" t="s">
        <v>34</v>
      </c>
      <c r="I5" s="83">
        <v>0</v>
      </c>
      <c r="J5" s="62" t="s">
        <v>143</v>
      </c>
      <c r="K5" s="80">
        <v>0.92</v>
      </c>
      <c r="L5" s="64" t="s">
        <v>145</v>
      </c>
      <c r="M5" s="65">
        <v>1.01</v>
      </c>
      <c r="N5" s="65">
        <v>87.12</v>
      </c>
      <c r="O5" s="66" t="s">
        <v>124</v>
      </c>
      <c r="P5" s="67">
        <v>0.94399999999999995</v>
      </c>
      <c r="Q5" s="69" t="s">
        <v>124</v>
      </c>
      <c r="R5" s="70">
        <v>0.94399999999999995</v>
      </c>
      <c r="T5" s="95"/>
      <c r="U5" t="s">
        <v>72</v>
      </c>
      <c r="V5" t="s">
        <v>101</v>
      </c>
      <c r="W5" t="s">
        <v>87</v>
      </c>
      <c r="X5" s="57" t="s">
        <v>163</v>
      </c>
      <c r="Y5" s="85">
        <v>1.22</v>
      </c>
      <c r="Z5" s="87" t="s">
        <v>166</v>
      </c>
      <c r="AA5" s="87">
        <v>0.74</v>
      </c>
      <c r="AB5" s="89" t="s">
        <v>169</v>
      </c>
      <c r="AC5" s="89">
        <v>1</v>
      </c>
      <c r="AE5" t="s">
        <v>84</v>
      </c>
    </row>
    <row r="6" spans="1:31" x14ac:dyDescent="0.35">
      <c r="A6" t="s">
        <v>18</v>
      </c>
      <c r="B6" s="97" t="s">
        <v>176</v>
      </c>
      <c r="C6" s="97">
        <v>198.24</v>
      </c>
      <c r="D6" s="57" t="s">
        <v>180</v>
      </c>
      <c r="E6" s="58">
        <v>1.7</v>
      </c>
      <c r="F6" s="60" t="s">
        <v>28</v>
      </c>
      <c r="G6" s="61">
        <v>142.11000000000001</v>
      </c>
      <c r="H6" s="83"/>
      <c r="I6" s="83"/>
      <c r="J6" s="62" t="s">
        <v>213</v>
      </c>
      <c r="K6" s="80">
        <v>0.996</v>
      </c>
      <c r="L6" s="64" t="s">
        <v>144</v>
      </c>
      <c r="M6" s="65">
        <v>1</v>
      </c>
      <c r="N6" s="65">
        <v>86.14</v>
      </c>
      <c r="O6" s="66" t="s">
        <v>150</v>
      </c>
      <c r="P6" s="67">
        <v>0.78600000000000003</v>
      </c>
      <c r="Q6" s="69" t="s">
        <v>150</v>
      </c>
      <c r="R6" s="70">
        <v>0.78600000000000003</v>
      </c>
      <c r="S6" s="70"/>
      <c r="T6" s="95"/>
      <c r="U6" t="s">
        <v>50</v>
      </c>
      <c r="X6" s="57" t="s">
        <v>164</v>
      </c>
      <c r="Y6" s="85">
        <v>1.22</v>
      </c>
      <c r="Z6" s="87" t="s">
        <v>167</v>
      </c>
      <c r="AA6" s="87">
        <v>0.86</v>
      </c>
      <c r="AB6" s="89" t="s">
        <v>116</v>
      </c>
      <c r="AC6" s="89"/>
      <c r="AE6" t="s">
        <v>81</v>
      </c>
    </row>
    <row r="7" spans="1:31" x14ac:dyDescent="0.35">
      <c r="A7" t="s">
        <v>19</v>
      </c>
      <c r="B7" s="97"/>
      <c r="C7" s="97"/>
      <c r="D7" s="57" t="s">
        <v>22</v>
      </c>
      <c r="E7" s="58">
        <v>126.2</v>
      </c>
      <c r="F7" s="60" t="s">
        <v>33</v>
      </c>
      <c r="G7" s="61">
        <v>0</v>
      </c>
      <c r="H7" s="83"/>
      <c r="I7" s="83"/>
      <c r="J7" s="62" t="s">
        <v>214</v>
      </c>
      <c r="K7" s="63">
        <v>0.77200000000000002</v>
      </c>
      <c r="L7" s="65" t="s">
        <v>175</v>
      </c>
      <c r="M7" s="65">
        <v>0.83799999999999997</v>
      </c>
      <c r="N7" s="65">
        <v>99.17</v>
      </c>
      <c r="O7" s="66" t="s">
        <v>125</v>
      </c>
      <c r="P7" s="67">
        <v>0.90200000000000002</v>
      </c>
      <c r="Q7" s="69" t="s">
        <v>125</v>
      </c>
      <c r="R7" s="70">
        <v>0.90200000000000002</v>
      </c>
      <c r="S7" s="70"/>
      <c r="T7" s="95"/>
      <c r="X7" s="57" t="s">
        <v>159</v>
      </c>
      <c r="Y7" s="85">
        <v>1.07</v>
      </c>
      <c r="Z7" s="87"/>
      <c r="AA7" s="87"/>
      <c r="AB7" s="89"/>
      <c r="AC7" s="89"/>
    </row>
    <row r="8" spans="1:31" x14ac:dyDescent="0.35">
      <c r="A8" t="s">
        <v>118</v>
      </c>
      <c r="B8" s="97"/>
      <c r="C8" s="97"/>
      <c r="D8" s="57" t="s">
        <v>23</v>
      </c>
      <c r="E8" s="58">
        <v>379.25</v>
      </c>
      <c r="F8" s="60"/>
      <c r="G8" s="61"/>
      <c r="H8" s="83"/>
      <c r="I8" s="83"/>
      <c r="J8" s="62" t="s">
        <v>215</v>
      </c>
      <c r="K8" s="80">
        <v>0.89200000000000002</v>
      </c>
      <c r="L8" s="65"/>
      <c r="M8" s="65"/>
      <c r="N8" s="65"/>
      <c r="O8" s="66" t="s">
        <v>126</v>
      </c>
      <c r="P8" s="67">
        <v>1.33</v>
      </c>
      <c r="Q8" s="69" t="s">
        <v>154</v>
      </c>
      <c r="R8" s="70"/>
      <c r="S8" s="70"/>
      <c r="T8" s="95"/>
      <c r="X8" s="57" t="s">
        <v>160</v>
      </c>
      <c r="Y8" s="85">
        <v>0.78600000000000003</v>
      </c>
      <c r="Z8" s="87"/>
      <c r="AA8" s="87"/>
      <c r="AB8" s="89"/>
      <c r="AC8" s="89"/>
    </row>
    <row r="9" spans="1:31" x14ac:dyDescent="0.35">
      <c r="A9" t="s">
        <v>119</v>
      </c>
      <c r="B9" s="97"/>
      <c r="C9" s="97"/>
      <c r="D9" s="57" t="s">
        <v>24</v>
      </c>
      <c r="E9" s="58">
        <v>413.69</v>
      </c>
      <c r="F9" s="60"/>
      <c r="G9" s="61"/>
      <c r="H9" s="83"/>
      <c r="I9" s="83"/>
      <c r="J9" s="62" t="s">
        <v>216</v>
      </c>
      <c r="K9" s="80">
        <v>0.78200000000000003</v>
      </c>
      <c r="L9" s="65"/>
      <c r="M9" s="65"/>
      <c r="N9" s="65"/>
      <c r="O9" s="66" t="s">
        <v>127</v>
      </c>
      <c r="P9" s="67">
        <v>1.05</v>
      </c>
      <c r="Q9" s="69" t="s">
        <v>130</v>
      </c>
      <c r="R9" s="70">
        <v>1</v>
      </c>
      <c r="S9" s="70"/>
      <c r="T9" s="95"/>
      <c r="X9" s="57"/>
      <c r="Y9" s="85"/>
      <c r="Z9" s="87"/>
      <c r="AA9" s="87"/>
      <c r="AB9" s="89"/>
      <c r="AC9" s="89"/>
    </row>
    <row r="10" spans="1:31" x14ac:dyDescent="0.35">
      <c r="A10" t="s">
        <v>120</v>
      </c>
      <c r="B10" s="97"/>
      <c r="C10" s="97"/>
      <c r="D10" s="57" t="s">
        <v>25</v>
      </c>
      <c r="E10" s="58">
        <v>380.23</v>
      </c>
      <c r="F10" s="60"/>
      <c r="G10" s="61"/>
      <c r="H10" s="83"/>
      <c r="I10" s="83"/>
      <c r="J10" s="62" t="s">
        <v>217</v>
      </c>
      <c r="K10" s="80">
        <v>0.87</v>
      </c>
      <c r="L10" s="65"/>
      <c r="M10" s="65"/>
      <c r="N10" s="65"/>
      <c r="O10" s="66" t="s">
        <v>128</v>
      </c>
      <c r="P10" s="67">
        <v>1.03</v>
      </c>
      <c r="Q10" s="69" t="s">
        <v>131</v>
      </c>
      <c r="R10" s="70">
        <v>1</v>
      </c>
      <c r="S10" s="70"/>
      <c r="T10" s="95"/>
      <c r="X10" s="57"/>
      <c r="Y10" s="85"/>
      <c r="Z10" s="87"/>
      <c r="AA10" s="87"/>
      <c r="AB10" s="89"/>
      <c r="AC10" s="89"/>
    </row>
    <row r="11" spans="1:31" x14ac:dyDescent="0.35">
      <c r="A11" t="s">
        <v>219</v>
      </c>
      <c r="B11" s="97"/>
      <c r="C11" s="97"/>
      <c r="D11" s="57" t="s">
        <v>26</v>
      </c>
      <c r="E11" s="58">
        <v>428.27</v>
      </c>
      <c r="F11" s="60"/>
      <c r="G11" s="61"/>
      <c r="H11" s="83"/>
      <c r="I11" s="83"/>
      <c r="J11" s="62" t="s">
        <v>218</v>
      </c>
      <c r="K11" s="80">
        <v>0.84099999999999997</v>
      </c>
      <c r="L11" s="65"/>
      <c r="M11" s="65"/>
      <c r="N11" s="65"/>
      <c r="O11" s="66" t="s">
        <v>129</v>
      </c>
      <c r="P11" s="67">
        <v>0.95799999999999996</v>
      </c>
      <c r="Q11" s="69" t="s">
        <v>132</v>
      </c>
      <c r="R11" s="70">
        <v>1.2</v>
      </c>
      <c r="S11" s="70"/>
      <c r="T11" s="95"/>
      <c r="X11" s="57"/>
      <c r="Y11" s="85"/>
      <c r="Z11" s="87"/>
      <c r="AA11" s="87"/>
      <c r="AB11" s="89"/>
      <c r="AC11" s="89"/>
    </row>
    <row r="12" spans="1:31" x14ac:dyDescent="0.35">
      <c r="B12" s="97"/>
      <c r="C12" s="97"/>
      <c r="D12" s="57" t="s">
        <v>113</v>
      </c>
      <c r="E12" s="58">
        <v>150.72</v>
      </c>
      <c r="F12" s="60"/>
      <c r="G12" s="61"/>
      <c r="H12" s="83"/>
      <c r="I12" s="83"/>
      <c r="J12" s="63"/>
      <c r="K12" s="63"/>
      <c r="L12" s="65"/>
      <c r="M12" s="65"/>
      <c r="N12" s="65"/>
      <c r="O12" s="66"/>
      <c r="P12" s="68"/>
      <c r="Q12" s="69" t="s">
        <v>133</v>
      </c>
      <c r="R12" s="70">
        <v>1</v>
      </c>
      <c r="S12" s="70"/>
      <c r="T12" s="95"/>
      <c r="X12" s="57"/>
      <c r="Y12" s="85"/>
      <c r="Z12" s="87"/>
      <c r="AA12" s="87"/>
      <c r="AB12" s="89"/>
      <c r="AC12" s="89"/>
    </row>
    <row r="13" spans="1:31" x14ac:dyDescent="0.35">
      <c r="B13" s="97"/>
      <c r="C13" s="97"/>
      <c r="D13" s="57" t="s">
        <v>136</v>
      </c>
      <c r="E13" s="58">
        <v>527.38</v>
      </c>
      <c r="F13" s="60"/>
      <c r="G13" s="61"/>
      <c r="H13" s="83"/>
      <c r="I13" s="83"/>
      <c r="J13" s="63"/>
      <c r="K13" s="63"/>
      <c r="L13" s="65"/>
      <c r="M13" s="65"/>
      <c r="N13" s="65"/>
      <c r="O13" s="66"/>
      <c r="P13" s="68"/>
      <c r="Q13" s="69"/>
      <c r="R13" s="69"/>
      <c r="S13" s="69"/>
      <c r="T13" s="96"/>
      <c r="X13" s="57"/>
      <c r="Y13" s="85"/>
      <c r="Z13" s="87"/>
      <c r="AA13" s="87"/>
      <c r="AB13" s="89"/>
      <c r="AC13" s="89"/>
    </row>
    <row r="14" spans="1:31" x14ac:dyDescent="0.35">
      <c r="B14" s="97"/>
      <c r="C14" s="97"/>
      <c r="D14" s="57" t="s">
        <v>137</v>
      </c>
      <c r="E14" s="58">
        <v>520.39</v>
      </c>
      <c r="F14" s="60"/>
      <c r="G14" s="61"/>
      <c r="H14" s="83"/>
      <c r="I14" s="83"/>
      <c r="J14" s="63"/>
      <c r="K14" s="63"/>
      <c r="L14" s="65"/>
      <c r="M14" s="65"/>
      <c r="N14" s="65"/>
      <c r="O14" s="66"/>
      <c r="P14" s="66"/>
      <c r="Q14" s="69"/>
      <c r="R14" s="71"/>
      <c r="S14" s="71"/>
      <c r="T14" s="95"/>
      <c r="X14" s="57"/>
      <c r="Y14" s="85"/>
      <c r="Z14" s="87"/>
      <c r="AA14" s="87"/>
      <c r="AB14" s="89"/>
      <c r="AC14" s="89"/>
    </row>
    <row r="15" spans="1:31" x14ac:dyDescent="0.35">
      <c r="B15" s="97"/>
      <c r="C15" s="97"/>
      <c r="D15" s="57" t="s">
        <v>138</v>
      </c>
      <c r="E15" s="58">
        <v>466.18</v>
      </c>
      <c r="F15" s="60"/>
      <c r="G15" s="61"/>
      <c r="H15" s="83"/>
      <c r="I15" s="83"/>
      <c r="J15" s="63"/>
      <c r="K15" s="63"/>
      <c r="L15" s="65"/>
      <c r="M15" s="65"/>
      <c r="N15" s="65"/>
      <c r="O15" s="66"/>
      <c r="P15" s="66"/>
      <c r="Q15" s="69"/>
      <c r="R15" s="71"/>
      <c r="S15" s="71"/>
      <c r="T15" s="95"/>
      <c r="X15" s="57"/>
      <c r="Y15" s="85"/>
      <c r="Z15" s="87"/>
      <c r="AA15" s="87"/>
      <c r="AB15" s="89"/>
      <c r="AC15" s="89"/>
    </row>
    <row r="16" spans="1:31" x14ac:dyDescent="0.35">
      <c r="B16" s="97"/>
      <c r="C16" s="97"/>
      <c r="D16" s="57" t="s">
        <v>139</v>
      </c>
      <c r="E16" s="58">
        <v>496.37</v>
      </c>
      <c r="F16" s="60"/>
      <c r="G16" s="61"/>
      <c r="H16" s="83"/>
      <c r="I16" s="83"/>
      <c r="J16" s="63"/>
      <c r="K16" s="63"/>
      <c r="L16" s="65"/>
      <c r="M16" s="65"/>
      <c r="N16" s="65"/>
      <c r="O16" s="66"/>
      <c r="P16" s="66"/>
      <c r="Q16" s="69"/>
      <c r="R16" s="71"/>
      <c r="S16" s="71"/>
      <c r="T16" s="95"/>
      <c r="X16" s="57"/>
      <c r="Y16" s="85"/>
      <c r="Z16" s="87"/>
      <c r="AA16" s="87"/>
      <c r="AB16" s="89"/>
      <c r="AC16" s="89"/>
    </row>
    <row r="17" spans="2:29" x14ac:dyDescent="0.35">
      <c r="B17" s="97"/>
      <c r="C17" s="97"/>
      <c r="D17" s="57"/>
      <c r="E17" s="58"/>
      <c r="F17" s="60"/>
      <c r="G17" s="61"/>
      <c r="H17" s="83"/>
      <c r="I17" s="83"/>
      <c r="J17" s="63"/>
      <c r="K17" s="63"/>
      <c r="L17" s="65"/>
      <c r="M17" s="65"/>
      <c r="N17" s="65"/>
      <c r="O17" s="66"/>
      <c r="P17" s="66"/>
      <c r="Q17" s="69"/>
      <c r="R17" s="71"/>
      <c r="S17" s="71"/>
      <c r="T17" s="95"/>
      <c r="X17" s="57"/>
      <c r="Y17" s="85"/>
      <c r="Z17" s="87"/>
      <c r="AA17" s="87"/>
      <c r="AB17" s="89"/>
      <c r="AC17" s="89"/>
    </row>
    <row r="18" spans="2:29" x14ac:dyDescent="0.35">
      <c r="B18" s="97"/>
      <c r="C18" s="97"/>
      <c r="D18" s="57"/>
      <c r="E18" s="58"/>
      <c r="F18" s="60"/>
      <c r="G18" s="61"/>
      <c r="H18" s="83"/>
      <c r="I18" s="83"/>
      <c r="J18" s="63"/>
      <c r="K18" s="63"/>
      <c r="L18" s="65"/>
      <c r="M18" s="65"/>
      <c r="N18" s="65"/>
      <c r="O18" s="66"/>
      <c r="P18" s="66"/>
      <c r="Q18" s="69"/>
      <c r="R18" s="71"/>
      <c r="S18" s="71"/>
      <c r="T18" s="95"/>
      <c r="X18" s="57"/>
      <c r="Y18" s="85"/>
      <c r="Z18" s="87"/>
      <c r="AA18" s="87"/>
      <c r="AB18" s="89"/>
      <c r="AC18" s="89"/>
    </row>
    <row r="19" spans="2:29" x14ac:dyDescent="0.35">
      <c r="B19" s="97"/>
      <c r="C19" s="97"/>
      <c r="D19" s="57"/>
      <c r="E19" s="58"/>
      <c r="F19" s="60"/>
      <c r="G19" s="61"/>
      <c r="H19" s="83"/>
      <c r="I19" s="83"/>
      <c r="J19" s="63"/>
      <c r="K19" s="63"/>
      <c r="L19" s="65"/>
      <c r="M19" s="65"/>
      <c r="N19" s="65"/>
      <c r="O19" s="66"/>
      <c r="P19" s="66"/>
      <c r="Q19" s="69"/>
      <c r="R19" s="71"/>
      <c r="S19" s="71"/>
      <c r="T19" s="95"/>
      <c r="X19" s="57"/>
      <c r="Y19" s="85"/>
      <c r="Z19" s="87"/>
      <c r="AA19" s="87"/>
      <c r="AB19" s="89"/>
      <c r="AC19" s="89"/>
    </row>
    <row r="20" spans="2:29" x14ac:dyDescent="0.35">
      <c r="B20" s="97"/>
      <c r="C20" s="97"/>
      <c r="D20" s="57"/>
      <c r="E20" s="58"/>
      <c r="F20" s="60"/>
      <c r="G20" s="61"/>
      <c r="H20" s="83"/>
      <c r="I20" s="83"/>
      <c r="J20" s="63"/>
      <c r="K20" s="63"/>
      <c r="L20" s="65"/>
      <c r="M20" s="65"/>
      <c r="N20" s="65"/>
      <c r="O20" s="66"/>
      <c r="P20" s="66"/>
      <c r="Q20" s="69"/>
      <c r="R20" s="71"/>
      <c r="S20" s="71"/>
      <c r="T20" s="95"/>
      <c r="X20" s="57"/>
      <c r="Y20" s="85"/>
      <c r="Z20" s="87"/>
      <c r="AA20" s="87"/>
      <c r="AB20" s="89"/>
      <c r="AC20" s="89"/>
    </row>
    <row r="21" spans="2:29" x14ac:dyDescent="0.35">
      <c r="B21" s="97"/>
      <c r="C21" s="97"/>
      <c r="D21" s="57"/>
      <c r="E21" s="58"/>
      <c r="F21" s="60"/>
      <c r="G21" s="61"/>
      <c r="H21" s="83"/>
      <c r="I21" s="83"/>
      <c r="J21" s="61"/>
      <c r="K21" s="61"/>
      <c r="L21" s="65"/>
      <c r="M21" s="65"/>
      <c r="N21" s="65"/>
      <c r="O21" s="66"/>
      <c r="P21" s="66"/>
      <c r="Q21" s="69"/>
      <c r="R21" s="71"/>
      <c r="S21" s="71"/>
      <c r="T21" s="95"/>
      <c r="X21" s="57"/>
      <c r="Y21" s="85"/>
      <c r="Z21" s="87"/>
      <c r="AA21" s="87"/>
      <c r="AB21" s="89"/>
      <c r="AC21" s="89"/>
    </row>
    <row r="22" spans="2:29" x14ac:dyDescent="0.35">
      <c r="B22" s="97"/>
      <c r="C22" s="97"/>
      <c r="D22" s="57"/>
      <c r="E22" s="58"/>
      <c r="F22" s="60"/>
      <c r="G22" s="61"/>
      <c r="H22" s="83"/>
      <c r="I22" s="83"/>
      <c r="J22" s="61"/>
      <c r="K22" s="61"/>
      <c r="L22" s="65"/>
      <c r="M22" s="65"/>
      <c r="N22" s="65"/>
      <c r="O22" s="66"/>
      <c r="P22" s="66"/>
      <c r="Q22" s="69"/>
      <c r="R22" s="71"/>
      <c r="S22" s="71"/>
      <c r="T22" s="71"/>
      <c r="X22" s="57"/>
      <c r="Y22" s="85"/>
      <c r="Z22" s="87"/>
      <c r="AA22" s="87"/>
      <c r="AB22" s="89"/>
      <c r="AC22" s="89"/>
    </row>
    <row r="23" spans="2:29" x14ac:dyDescent="0.35">
      <c r="B23" s="97"/>
      <c r="C23" s="97"/>
      <c r="D23" s="57"/>
      <c r="E23" s="58"/>
      <c r="F23" s="60"/>
      <c r="G23" s="61"/>
      <c r="H23" s="83"/>
      <c r="I23" s="83"/>
      <c r="J23" s="61"/>
      <c r="K23" s="61"/>
      <c r="L23" s="65"/>
      <c r="M23" s="65"/>
      <c r="N23" s="65"/>
      <c r="O23" s="66"/>
      <c r="P23" s="66"/>
      <c r="Q23" s="69"/>
      <c r="R23" s="71"/>
      <c r="S23" s="71"/>
      <c r="T23" s="71"/>
      <c r="X23" s="57"/>
      <c r="Y23" s="57"/>
      <c r="Z23" s="87"/>
      <c r="AA23" s="87"/>
      <c r="AB23" s="89"/>
      <c r="AC23" s="89"/>
    </row>
    <row r="24" spans="2:29" x14ac:dyDescent="0.35">
      <c r="B24" s="97"/>
      <c r="C24" s="97"/>
      <c r="D24" s="57"/>
      <c r="E24" s="58"/>
      <c r="F24" s="60"/>
      <c r="G24" s="61"/>
      <c r="H24" s="83"/>
      <c r="I24" s="83"/>
      <c r="J24" s="61"/>
      <c r="K24" s="61"/>
      <c r="L24" s="65"/>
      <c r="M24" s="65"/>
      <c r="N24" s="65"/>
      <c r="O24" s="66"/>
      <c r="P24" s="66"/>
      <c r="Q24" s="69"/>
      <c r="R24" s="71"/>
      <c r="S24" s="71"/>
      <c r="T24" s="71"/>
      <c r="X24" s="57"/>
      <c r="Y24" s="57"/>
      <c r="Z24" s="87"/>
      <c r="AA24" s="87"/>
      <c r="AB24" s="89"/>
      <c r="AC24" s="89"/>
    </row>
    <row r="25" spans="2:29" x14ac:dyDescent="0.35">
      <c r="B25" s="97"/>
      <c r="C25" s="97"/>
      <c r="D25" s="57"/>
      <c r="E25" s="58"/>
      <c r="F25" s="60"/>
      <c r="G25" s="61"/>
      <c r="H25" s="83"/>
      <c r="I25" s="83"/>
      <c r="J25" s="61"/>
      <c r="K25" s="61"/>
      <c r="L25" s="65"/>
      <c r="M25" s="65"/>
      <c r="N25" s="65"/>
      <c r="O25" s="66"/>
      <c r="P25" s="66"/>
      <c r="Q25" s="69"/>
      <c r="R25" s="71"/>
      <c r="S25" s="71"/>
      <c r="T25" s="71"/>
      <c r="X25" s="57"/>
      <c r="Y25" s="57"/>
      <c r="Z25" s="87"/>
      <c r="AA25" s="87"/>
      <c r="AB25" s="89"/>
      <c r="AC25" s="89"/>
    </row>
    <row r="26" spans="2:29" x14ac:dyDescent="0.35">
      <c r="D26" s="57"/>
      <c r="E26" s="58"/>
      <c r="G26" s="19"/>
      <c r="H26" s="19"/>
      <c r="I26" s="19"/>
      <c r="J26" s="19"/>
      <c r="K26" s="19"/>
      <c r="L26" s="19"/>
      <c r="M26" s="19"/>
      <c r="N26" s="19"/>
      <c r="R26" s="53"/>
      <c r="S26" s="53"/>
      <c r="T26" s="53"/>
    </row>
    <row r="27" spans="2:29" x14ac:dyDescent="0.35">
      <c r="E27" s="54"/>
      <c r="G27" s="19"/>
      <c r="H27" s="19"/>
      <c r="I27" s="19"/>
      <c r="J27" s="19"/>
      <c r="K27" s="19"/>
      <c r="L27" s="19"/>
      <c r="M27" s="19"/>
      <c r="N27" s="19"/>
    </row>
    <row r="28" spans="2:29" x14ac:dyDescent="0.35">
      <c r="E28" s="54"/>
      <c r="G28" s="19"/>
      <c r="H28" s="19"/>
      <c r="I28" s="19"/>
      <c r="J28" s="19"/>
      <c r="K28" s="19"/>
      <c r="L28" s="19"/>
      <c r="M28" s="19"/>
      <c r="N28" s="19"/>
    </row>
    <row r="29" spans="2:29" x14ac:dyDescent="0.35">
      <c r="E29" s="54"/>
      <c r="G29" s="19"/>
      <c r="H29" s="19"/>
      <c r="I29" s="19"/>
      <c r="J29" s="19"/>
      <c r="K29" s="19"/>
      <c r="L29" s="19"/>
      <c r="M29" s="19"/>
      <c r="N29" s="19"/>
    </row>
    <row r="30" spans="2:29" x14ac:dyDescent="0.35">
      <c r="E30" s="54"/>
      <c r="G30" s="19"/>
      <c r="H30" s="19"/>
      <c r="I30" s="19"/>
      <c r="J30" s="19"/>
      <c r="K30" s="19"/>
      <c r="L30" s="19"/>
      <c r="M30" s="19"/>
      <c r="N30" s="19"/>
    </row>
    <row r="32" spans="2:29" x14ac:dyDescent="0.35">
      <c r="G32" s="52"/>
      <c r="H32" s="52"/>
      <c r="I32" s="52"/>
      <c r="N32" s="52"/>
    </row>
    <row r="42" spans="2:5" x14ac:dyDescent="0.35">
      <c r="B42" s="53"/>
      <c r="C42" s="53"/>
      <c r="E42" s="55"/>
    </row>
    <row r="43" spans="2:5" x14ac:dyDescent="0.35">
      <c r="B43" s="53"/>
      <c r="C43" s="53"/>
      <c r="E43" s="55"/>
    </row>
    <row r="48" spans="2:5" x14ac:dyDescent="0.35">
      <c r="B48" s="53"/>
      <c r="C48" s="53"/>
      <c r="E48" s="53"/>
    </row>
  </sheetData>
  <mergeCells count="11">
    <mergeCell ref="D2:E2"/>
    <mergeCell ref="J2:K2"/>
    <mergeCell ref="F2:G2"/>
    <mergeCell ref="L2:N2"/>
    <mergeCell ref="H2:I2"/>
    <mergeCell ref="S2:T2"/>
    <mergeCell ref="X2:Y2"/>
    <mergeCell ref="Z2:AA2"/>
    <mergeCell ref="AB2:AC2"/>
    <mergeCell ref="O2:P2"/>
    <mergeCell ref="Q2:R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C7EA0-8359-4D07-922F-DBCCF22AB6B5}">
  <dimension ref="B1:I115"/>
  <sheetViews>
    <sheetView topLeftCell="A88" zoomScaleNormal="100" workbookViewId="0">
      <selection activeCell="F98" sqref="F98"/>
    </sheetView>
  </sheetViews>
  <sheetFormatPr defaultRowHeight="14.5" x14ac:dyDescent="0.35"/>
  <cols>
    <col min="1" max="1" width="3.1796875" customWidth="1"/>
    <col min="2" max="2" width="23.7265625" customWidth="1"/>
    <col min="3" max="3" width="18.36328125" customWidth="1"/>
    <col min="4" max="4" width="16.36328125" customWidth="1"/>
    <col min="5" max="5" width="16.81640625" customWidth="1"/>
    <col min="6" max="6" width="14.54296875" customWidth="1"/>
    <col min="7" max="7" width="21.81640625" style="114" customWidth="1"/>
    <col min="8" max="8" width="9.6328125" customWidth="1"/>
    <col min="9" max="9" width="10.453125" customWidth="1"/>
  </cols>
  <sheetData>
    <row r="1" spans="2:9" x14ac:dyDescent="0.35">
      <c r="G1" s="113"/>
      <c r="I1" s="113"/>
    </row>
    <row r="2" spans="2:9" ht="18.5" x14ac:dyDescent="0.35">
      <c r="B2" s="149" t="s">
        <v>193</v>
      </c>
      <c r="C2" s="149"/>
      <c r="D2" s="149"/>
      <c r="E2" s="149"/>
      <c r="F2" s="149"/>
      <c r="I2" s="114"/>
    </row>
    <row r="3" spans="2:9" x14ac:dyDescent="0.35">
      <c r="B3" s="157" t="s">
        <v>7</v>
      </c>
      <c r="C3" s="158"/>
      <c r="D3" s="9" t="s">
        <v>8</v>
      </c>
      <c r="E3" s="9" t="s">
        <v>9</v>
      </c>
      <c r="F3" s="9" t="s">
        <v>32</v>
      </c>
      <c r="I3" s="114"/>
    </row>
    <row r="4" spans="2:9" x14ac:dyDescent="0.35">
      <c r="B4" s="152" t="s">
        <v>104</v>
      </c>
      <c r="C4" s="153"/>
      <c r="D4" s="169"/>
      <c r="E4" s="169"/>
      <c r="F4" s="171" t="e">
        <f>E4/D4</f>
        <v>#DIV/0!</v>
      </c>
      <c r="G4" s="125"/>
      <c r="I4" s="126"/>
    </row>
    <row r="5" spans="2:9" x14ac:dyDescent="0.35">
      <c r="B5" s="152" t="s">
        <v>184</v>
      </c>
      <c r="C5" s="153"/>
      <c r="D5" s="170"/>
      <c r="E5" s="170"/>
      <c r="F5" s="172"/>
      <c r="G5" s="125"/>
      <c r="I5" s="126"/>
    </row>
    <row r="6" spans="2:9" x14ac:dyDescent="0.35">
      <c r="B6" s="166" t="s">
        <v>108</v>
      </c>
      <c r="C6" s="167"/>
      <c r="D6" s="167"/>
      <c r="E6" s="168"/>
      <c r="F6" s="109"/>
      <c r="I6" s="114"/>
    </row>
    <row r="7" spans="2:9" x14ac:dyDescent="0.35">
      <c r="F7" s="108"/>
      <c r="I7" s="114"/>
    </row>
    <row r="8" spans="2:9" x14ac:dyDescent="0.35">
      <c r="I8" s="114"/>
    </row>
    <row r="9" spans="2:9" ht="18.5" x14ac:dyDescent="0.45">
      <c r="B9" s="159" t="s">
        <v>201</v>
      </c>
      <c r="C9" s="160"/>
      <c r="D9" s="160"/>
      <c r="E9" s="160"/>
      <c r="F9" s="161"/>
      <c r="I9" s="114"/>
    </row>
    <row r="10" spans="2:9" x14ac:dyDescent="0.35">
      <c r="B10" s="8" t="s">
        <v>5</v>
      </c>
      <c r="C10" s="8"/>
      <c r="D10" s="162" t="s">
        <v>6</v>
      </c>
      <c r="E10" s="164" t="s">
        <v>86</v>
      </c>
      <c r="F10" s="164" t="s">
        <v>32</v>
      </c>
      <c r="I10" s="114"/>
    </row>
    <row r="11" spans="2:9" ht="12" customHeight="1" x14ac:dyDescent="0.35">
      <c r="B11" s="9" t="s">
        <v>15</v>
      </c>
      <c r="C11" s="9" t="s">
        <v>11</v>
      </c>
      <c r="D11" s="163"/>
      <c r="E11" s="165"/>
      <c r="F11" s="165"/>
      <c r="I11" s="114"/>
    </row>
    <row r="12" spans="2:9" x14ac:dyDescent="0.35">
      <c r="B12" s="10" t="s">
        <v>52</v>
      </c>
      <c r="C12" s="49">
        <v>311.33999999999997</v>
      </c>
      <c r="D12" s="5"/>
      <c r="E12" s="5"/>
      <c r="F12" s="51">
        <f>(E4*C12*D12*E12)/1000</f>
        <v>0</v>
      </c>
      <c r="G12" s="125"/>
      <c r="I12" s="126"/>
    </row>
    <row r="13" spans="2:9" x14ac:dyDescent="0.35">
      <c r="B13" s="10" t="s">
        <v>53</v>
      </c>
      <c r="C13" s="49">
        <v>648.77</v>
      </c>
      <c r="D13" s="5"/>
      <c r="E13" s="5"/>
      <c r="F13" s="51">
        <f>(E4*C13*D13*E13)/1000</f>
        <v>0</v>
      </c>
      <c r="G13" s="125"/>
      <c r="I13" s="126"/>
    </row>
    <row r="14" spans="2:9" x14ac:dyDescent="0.35">
      <c r="B14" s="10" t="s">
        <v>54</v>
      </c>
      <c r="C14" s="49">
        <v>596.66999999999996</v>
      </c>
      <c r="D14" s="5"/>
      <c r="E14" s="5"/>
      <c r="F14" s="51">
        <f>(E4*C14*D14*E14)/1000</f>
        <v>0</v>
      </c>
      <c r="G14" s="125"/>
      <c r="I14" s="126"/>
    </row>
    <row r="15" spans="2:9" x14ac:dyDescent="0.35">
      <c r="B15" s="10" t="s">
        <v>121</v>
      </c>
      <c r="C15" s="49">
        <v>411.45</v>
      </c>
      <c r="D15" s="5"/>
      <c r="E15" s="5"/>
      <c r="F15" s="51">
        <f>(E4*C15*D15*E15)/1000</f>
        <v>0</v>
      </c>
      <c r="G15" s="125"/>
      <c r="I15" s="126"/>
    </row>
    <row r="16" spans="2:9" x14ac:dyDescent="0.35">
      <c r="B16" s="10" t="s">
        <v>56</v>
      </c>
      <c r="C16" s="49">
        <v>585.71</v>
      </c>
      <c r="D16" s="5"/>
      <c r="E16" s="5"/>
      <c r="F16" s="51">
        <f>(E4*C16*D16*E16)/1000</f>
        <v>0</v>
      </c>
      <c r="G16" s="125"/>
      <c r="I16" s="126"/>
    </row>
    <row r="17" spans="2:9" x14ac:dyDescent="0.35">
      <c r="B17" s="10" t="s">
        <v>57</v>
      </c>
      <c r="C17" s="49">
        <v>610.70000000000005</v>
      </c>
      <c r="D17" s="5"/>
      <c r="E17" s="5"/>
      <c r="F17" s="51">
        <f>(E4*C17*D17*E17)/1000</f>
        <v>0</v>
      </c>
      <c r="G17" s="125"/>
      <c r="I17" s="126"/>
    </row>
    <row r="18" spans="2:9" x14ac:dyDescent="0.35">
      <c r="B18" s="10" t="s">
        <v>122</v>
      </c>
      <c r="C18" s="49">
        <v>425.47</v>
      </c>
      <c r="D18" s="5"/>
      <c r="E18" s="5"/>
      <c r="F18" s="51">
        <f>(E4*C18*D18*E18)/1000</f>
        <v>0</v>
      </c>
      <c r="G18" s="115"/>
      <c r="I18" s="115"/>
    </row>
    <row r="19" spans="2:9" x14ac:dyDescent="0.35">
      <c r="B19" s="10" t="s">
        <v>59</v>
      </c>
      <c r="C19" s="49">
        <v>297.31</v>
      </c>
      <c r="D19" s="5"/>
      <c r="E19" s="5"/>
      <c r="F19" s="51">
        <f>(E4*C19*D19*E19)/1000</f>
        <v>0</v>
      </c>
      <c r="G19" s="115"/>
      <c r="I19" s="115"/>
    </row>
    <row r="20" spans="2:9" x14ac:dyDescent="0.35">
      <c r="B20" s="10" t="s">
        <v>60</v>
      </c>
      <c r="C20" s="49">
        <v>619.71</v>
      </c>
      <c r="D20" s="5"/>
      <c r="E20" s="5"/>
      <c r="F20" s="51">
        <f>(E4*C20*D20*E20)/1000</f>
        <v>0</v>
      </c>
      <c r="G20" s="115"/>
      <c r="I20" s="115"/>
    </row>
    <row r="21" spans="2:9" x14ac:dyDescent="0.35">
      <c r="B21" s="10" t="s">
        <v>61</v>
      </c>
      <c r="C21" s="49">
        <v>353.41</v>
      </c>
      <c r="D21" s="5"/>
      <c r="E21" s="5"/>
      <c r="F21" s="51">
        <f>(E4*C21*D21*E21)/1000</f>
        <v>0</v>
      </c>
      <c r="G21" s="115"/>
      <c r="I21" s="115"/>
    </row>
    <row r="22" spans="2:9" x14ac:dyDescent="0.35">
      <c r="B22" s="10" t="s">
        <v>62</v>
      </c>
      <c r="C22" s="49">
        <v>353.41</v>
      </c>
      <c r="D22" s="5"/>
      <c r="E22" s="5"/>
      <c r="F22" s="51">
        <f>(E4*C22*D22*E22)/1000</f>
        <v>0</v>
      </c>
      <c r="G22" s="115"/>
    </row>
    <row r="23" spans="2:9" x14ac:dyDescent="0.35">
      <c r="B23" s="10" t="s">
        <v>63</v>
      </c>
      <c r="C23" s="49">
        <v>468.54</v>
      </c>
      <c r="D23" s="5"/>
      <c r="E23" s="5"/>
      <c r="F23" s="51">
        <f>(E4*C23*D23*E23)/1000</f>
        <v>0</v>
      </c>
      <c r="G23" s="115"/>
    </row>
    <row r="24" spans="2:9" x14ac:dyDescent="0.35">
      <c r="B24" s="10" t="s">
        <v>64</v>
      </c>
      <c r="C24" s="49">
        <v>371.45</v>
      </c>
      <c r="D24" s="5"/>
      <c r="E24" s="5"/>
      <c r="F24" s="51">
        <f>(E4*C24*D24*E24)/1000</f>
        <v>0</v>
      </c>
      <c r="G24" s="115"/>
    </row>
    <row r="25" spans="2:9" x14ac:dyDescent="0.35">
      <c r="B25" s="10" t="s">
        <v>65</v>
      </c>
      <c r="C25" s="49">
        <v>387.43</v>
      </c>
      <c r="D25" s="5"/>
      <c r="E25" s="5"/>
      <c r="F25" s="51">
        <f>(E4*C25*D25*E25)/1000</f>
        <v>0</v>
      </c>
      <c r="G25" s="115"/>
    </row>
    <row r="26" spans="2:9" x14ac:dyDescent="0.35">
      <c r="B26" s="10" t="s">
        <v>66</v>
      </c>
      <c r="C26" s="49">
        <v>337.37</v>
      </c>
      <c r="D26" s="5"/>
      <c r="E26" s="5"/>
      <c r="F26" s="51">
        <f>(E4*C26*D26*E26)/1000</f>
        <v>0</v>
      </c>
      <c r="G26" s="115"/>
    </row>
    <row r="27" spans="2:9" x14ac:dyDescent="0.35">
      <c r="B27" s="10" t="s">
        <v>67</v>
      </c>
      <c r="C27" s="49">
        <v>383.44</v>
      </c>
      <c r="D27" s="5"/>
      <c r="E27" s="5"/>
      <c r="F27" s="51">
        <f>(E4*C27*D27*E27)/1000</f>
        <v>0</v>
      </c>
      <c r="G27" s="115"/>
    </row>
    <row r="28" spans="2:9" x14ac:dyDescent="0.35">
      <c r="B28" s="10" t="s">
        <v>68</v>
      </c>
      <c r="C28" s="49">
        <v>397.46</v>
      </c>
      <c r="D28" s="5"/>
      <c r="E28" s="5"/>
      <c r="F28" s="51">
        <f>(E4*C28*D28*E28)/1000</f>
        <v>0</v>
      </c>
      <c r="G28" s="115"/>
    </row>
    <row r="29" spans="2:9" x14ac:dyDescent="0.35">
      <c r="B29" s="10" t="s">
        <v>69</v>
      </c>
      <c r="C29" s="49">
        <v>526.58000000000004</v>
      </c>
      <c r="D29" s="5"/>
      <c r="E29" s="5"/>
      <c r="F29" s="51">
        <f>(E4*C29*D29*E29)/1000</f>
        <v>0</v>
      </c>
      <c r="G29" s="115"/>
    </row>
    <row r="30" spans="2:9" x14ac:dyDescent="0.35">
      <c r="B30" s="10" t="s">
        <v>70</v>
      </c>
      <c r="C30" s="49">
        <v>459.53</v>
      </c>
      <c r="D30" s="5"/>
      <c r="E30" s="5"/>
      <c r="F30" s="51">
        <f>(E4*C30*D30*E30)/1000</f>
        <v>0</v>
      </c>
      <c r="G30" s="115"/>
    </row>
    <row r="31" spans="2:9" x14ac:dyDescent="0.35">
      <c r="B31" s="10" t="s">
        <v>71</v>
      </c>
      <c r="C31" s="49">
        <v>339.39</v>
      </c>
      <c r="D31" s="5"/>
      <c r="E31" s="5"/>
      <c r="F31" s="51">
        <f>(E4*C31*D31*E31)/1000</f>
        <v>0</v>
      </c>
      <c r="G31" s="115"/>
    </row>
    <row r="32" spans="2:9" x14ac:dyDescent="0.35">
      <c r="B32" s="10" t="s">
        <v>20</v>
      </c>
      <c r="C32" s="50"/>
      <c r="D32" s="5"/>
      <c r="E32" s="5"/>
      <c r="F32" s="51">
        <f>(E4*C32*D32*E32)/1000</f>
        <v>0</v>
      </c>
    </row>
    <row r="33" spans="2:7" x14ac:dyDescent="0.35">
      <c r="B33" s="10" t="s">
        <v>20</v>
      </c>
      <c r="C33" s="50"/>
      <c r="D33" s="5"/>
      <c r="E33" s="5"/>
      <c r="F33" s="51">
        <f>(E4*C33*D33*E33)/1000</f>
        <v>0</v>
      </c>
    </row>
    <row r="34" spans="2:7" x14ac:dyDescent="0.35">
      <c r="B34" s="10" t="s">
        <v>20</v>
      </c>
      <c r="C34" s="50"/>
      <c r="D34" s="5"/>
      <c r="E34" s="5"/>
      <c r="F34" s="51">
        <f>(E4*C34*D34*E34)/1000</f>
        <v>0</v>
      </c>
    </row>
    <row r="35" spans="2:7" x14ac:dyDescent="0.35">
      <c r="B35" s="10" t="s">
        <v>20</v>
      </c>
      <c r="C35" s="50"/>
      <c r="D35" s="5"/>
      <c r="E35" s="5"/>
      <c r="F35" s="51">
        <f>(E4*C35*D35*E35)/1000</f>
        <v>0</v>
      </c>
    </row>
    <row r="36" spans="2:7" x14ac:dyDescent="0.35">
      <c r="B36" s="10" t="s">
        <v>20</v>
      </c>
      <c r="C36" s="50"/>
      <c r="D36" s="5"/>
      <c r="E36" s="5"/>
      <c r="F36" s="51">
        <f>(E4*C36*D36*E36)/1000</f>
        <v>0</v>
      </c>
    </row>
    <row r="37" spans="2:7" ht="16" x14ac:dyDescent="0.35">
      <c r="B37" s="134" t="s">
        <v>51</v>
      </c>
      <c r="C37" s="135"/>
      <c r="D37" s="136"/>
      <c r="E37" s="11">
        <f>SUM(E12:E36)</f>
        <v>0</v>
      </c>
      <c r="F37" s="24">
        <f>SUM(F12:F36)</f>
        <v>0</v>
      </c>
    </row>
    <row r="39" spans="2:7" ht="18.5" x14ac:dyDescent="0.35">
      <c r="B39" s="151" t="s">
        <v>195</v>
      </c>
      <c r="C39" s="151"/>
      <c r="D39" s="151"/>
      <c r="E39" s="151"/>
      <c r="F39" s="151"/>
      <c r="G39" s="151"/>
    </row>
    <row r="40" spans="2:7" ht="18.5" x14ac:dyDescent="0.35">
      <c r="B40" s="34"/>
      <c r="C40" s="34"/>
      <c r="D40" s="34"/>
      <c r="E40" s="34"/>
      <c r="F40" s="34"/>
      <c r="G40" s="116"/>
    </row>
    <row r="41" spans="2:7" ht="18.5" x14ac:dyDescent="0.35">
      <c r="B41" s="149" t="s">
        <v>190</v>
      </c>
      <c r="C41" s="149"/>
      <c r="D41" s="149"/>
      <c r="E41" s="149"/>
      <c r="F41" s="149"/>
      <c r="G41" s="149"/>
    </row>
    <row r="42" spans="2:7" x14ac:dyDescent="0.35">
      <c r="B42" s="154" t="s">
        <v>16</v>
      </c>
      <c r="C42" s="154"/>
      <c r="D42" s="9" t="s">
        <v>11</v>
      </c>
      <c r="E42" s="9" t="s">
        <v>6</v>
      </c>
      <c r="F42" s="9" t="s">
        <v>86</v>
      </c>
      <c r="G42" s="117" t="s">
        <v>32</v>
      </c>
    </row>
    <row r="43" spans="2:7" x14ac:dyDescent="0.35">
      <c r="B43" s="155" t="s">
        <v>2</v>
      </c>
      <c r="C43" s="155"/>
      <c r="D43" s="103" t="str">
        <f>_xlfn.XLOOKUP(B43,BackUpDATA!D3:D25,BackUpDATA!E3:E25)</f>
        <v>Mol. Wt.</v>
      </c>
      <c r="E43" s="5"/>
      <c r="F43" s="7"/>
      <c r="G43" s="118" t="e">
        <f>(D43*E4*E43*F43)/1000</f>
        <v>#VALUE!</v>
      </c>
    </row>
    <row r="44" spans="2:7" x14ac:dyDescent="0.35">
      <c r="B44" s="152" t="s">
        <v>140</v>
      </c>
      <c r="C44" s="153"/>
      <c r="D44" s="5"/>
      <c r="E44" s="5"/>
      <c r="F44" s="7"/>
      <c r="G44" s="118">
        <f>(D44*E4*E44*F44)/1000</f>
        <v>0</v>
      </c>
    </row>
    <row r="45" spans="2:7" x14ac:dyDescent="0.35">
      <c r="B45" s="152" t="s">
        <v>141</v>
      </c>
      <c r="C45" s="153"/>
      <c r="D45" s="5"/>
      <c r="E45" s="5"/>
      <c r="F45" s="7"/>
      <c r="G45" s="118">
        <f>(D45*E4*E45*F45)/1000</f>
        <v>0</v>
      </c>
    </row>
    <row r="46" spans="2:7" x14ac:dyDescent="0.35">
      <c r="B46" s="156" t="s">
        <v>21</v>
      </c>
      <c r="C46" s="156"/>
      <c r="D46" s="102" t="str">
        <f>_xlfn.XLOOKUP(B46,BackUpDATA!F3:F25,BackUpDATA!G3:G25)</f>
        <v>Mol. Wt.</v>
      </c>
      <c r="E46" s="5"/>
      <c r="F46" s="7"/>
      <c r="G46" s="118" t="e">
        <f>(D46*E4*E46*F46)/1000</f>
        <v>#VALUE!</v>
      </c>
    </row>
    <row r="47" spans="2:7" x14ac:dyDescent="0.35">
      <c r="B47" s="156" t="s">
        <v>29</v>
      </c>
      <c r="C47" s="156"/>
      <c r="D47" s="102" t="str">
        <f>_xlfn.XLOOKUP(B47,BackUpDATA!H3:H25,BackUpDATA!I3:I25)</f>
        <v>Mol. Wt.</v>
      </c>
      <c r="E47" s="5"/>
      <c r="F47" s="7"/>
      <c r="G47" s="118" t="e">
        <f>(D47*E4*E47*F47)/1000</f>
        <v>#VALUE!</v>
      </c>
    </row>
    <row r="48" spans="2:7" ht="16" x14ac:dyDescent="0.35">
      <c r="B48" s="131" t="s">
        <v>73</v>
      </c>
      <c r="C48" s="132"/>
      <c r="D48" s="132"/>
      <c r="E48" s="132"/>
      <c r="F48" s="133"/>
      <c r="G48" s="119">
        <f>_xlfn.AGGREGATE(9,6,G43:G47)</f>
        <v>0</v>
      </c>
    </row>
    <row r="50" spans="2:7" ht="18.5" x14ac:dyDescent="0.35">
      <c r="B50" s="149" t="s">
        <v>191</v>
      </c>
      <c r="C50" s="149"/>
      <c r="D50" s="149"/>
      <c r="E50" s="149"/>
      <c r="F50" s="149"/>
      <c r="G50" s="149"/>
    </row>
    <row r="51" spans="2:7" x14ac:dyDescent="0.35">
      <c r="B51" s="8" t="s">
        <v>147</v>
      </c>
      <c r="C51" s="9" t="s">
        <v>11</v>
      </c>
      <c r="D51" s="9" t="s">
        <v>4</v>
      </c>
      <c r="E51" s="9" t="s">
        <v>91</v>
      </c>
      <c r="F51" s="9" t="s">
        <v>97</v>
      </c>
      <c r="G51" s="117" t="s">
        <v>32</v>
      </c>
    </row>
    <row r="52" spans="2:7" x14ac:dyDescent="0.35">
      <c r="B52" s="10" t="s">
        <v>148</v>
      </c>
      <c r="C52" s="104"/>
      <c r="D52" s="103" t="str">
        <f>_xlfn.XLOOKUP(B52,BackUpDATA!J3:J25,BackUpDATA!K3:K25)</f>
        <v>Density</v>
      </c>
      <c r="E52" s="5"/>
      <c r="F52" s="5"/>
      <c r="G52" s="120" t="e">
        <f>D52*E52*F52</f>
        <v>#VALUE!</v>
      </c>
    </row>
    <row r="53" spans="2:7" x14ac:dyDescent="0.35">
      <c r="B53" s="10" t="s">
        <v>170</v>
      </c>
      <c r="C53" s="104" t="str">
        <f>_xlfn.XLOOKUP('SPPS_PMI-cEF'!B53,BackUpDATA!L3:L25,BackUpDATA!N3:N25)</f>
        <v>Mol. Wt.</v>
      </c>
      <c r="D53" s="103" t="str">
        <f>_xlfn.XLOOKUP(B53,BackUpDATA!L3:L25,BackUpDATA!M3:M25)</f>
        <v>Density</v>
      </c>
      <c r="E53" s="5"/>
      <c r="F53" s="5"/>
      <c r="G53" s="120" t="e">
        <f>D53*E53*F53</f>
        <v>#VALUE!</v>
      </c>
    </row>
    <row r="54" spans="2:7" x14ac:dyDescent="0.35">
      <c r="B54" s="10" t="s">
        <v>171</v>
      </c>
      <c r="C54" s="5"/>
      <c r="D54" s="5"/>
      <c r="E54" s="5"/>
      <c r="F54" s="5"/>
      <c r="G54" s="120">
        <f t="shared" ref="G54:G55" si="0">D54*E54*F54</f>
        <v>0</v>
      </c>
    </row>
    <row r="55" spans="2:7" x14ac:dyDescent="0.35">
      <c r="B55" s="10" t="s">
        <v>171</v>
      </c>
      <c r="C55" s="5"/>
      <c r="D55" s="5"/>
      <c r="E55" s="5"/>
      <c r="F55" s="5"/>
      <c r="G55" s="120">
        <f t="shared" si="0"/>
        <v>0</v>
      </c>
    </row>
    <row r="56" spans="2:7" ht="16" x14ac:dyDescent="0.35">
      <c r="B56" s="131" t="s">
        <v>73</v>
      </c>
      <c r="C56" s="132"/>
      <c r="D56" s="132"/>
      <c r="E56" s="132"/>
      <c r="F56" s="133"/>
      <c r="G56" s="119">
        <f>_xlfn.AGGREGATE(9,6,G52:G55)</f>
        <v>0</v>
      </c>
    </row>
    <row r="58" spans="2:7" ht="16" x14ac:dyDescent="0.35">
      <c r="B58" s="128" t="s">
        <v>109</v>
      </c>
      <c r="C58" s="129"/>
      <c r="D58" s="129"/>
      <c r="E58" s="129"/>
      <c r="F58" s="130"/>
      <c r="G58" s="119">
        <f>G48+G56</f>
        <v>0</v>
      </c>
    </row>
    <row r="60" spans="2:7" ht="18.5" x14ac:dyDescent="0.45">
      <c r="B60" s="150" t="s">
        <v>196</v>
      </c>
      <c r="C60" s="150"/>
      <c r="D60" s="150"/>
      <c r="E60" s="150"/>
      <c r="F60" s="150"/>
      <c r="G60" s="150"/>
    </row>
    <row r="61" spans="2:7" ht="16" x14ac:dyDescent="0.4">
      <c r="B61" s="15"/>
      <c r="C61" s="15"/>
      <c r="D61" s="15"/>
      <c r="E61" s="15"/>
      <c r="F61" s="15"/>
      <c r="G61" s="121"/>
    </row>
    <row r="62" spans="2:7" ht="16" x14ac:dyDescent="0.4">
      <c r="B62" s="142" t="s">
        <v>206</v>
      </c>
      <c r="C62" s="143"/>
      <c r="D62" s="143"/>
      <c r="E62" s="143"/>
      <c r="F62" s="143"/>
      <c r="G62" s="144"/>
    </row>
    <row r="63" spans="2:7" x14ac:dyDescent="0.35">
      <c r="B63" s="9" t="s">
        <v>31</v>
      </c>
      <c r="C63" s="9" t="s">
        <v>3</v>
      </c>
      <c r="D63" s="9" t="s">
        <v>4</v>
      </c>
      <c r="E63" s="9" t="s">
        <v>45</v>
      </c>
      <c r="F63" s="9" t="s">
        <v>86</v>
      </c>
      <c r="G63" s="117" t="s">
        <v>32</v>
      </c>
    </row>
    <row r="64" spans="2:7" x14ac:dyDescent="0.35">
      <c r="B64" s="140" t="s">
        <v>172</v>
      </c>
      <c r="C64" s="12" t="s">
        <v>149</v>
      </c>
      <c r="D64" s="105" t="str">
        <f>_xlfn.XLOOKUP(C64,BackUpDATA!O3:O25,BackUpDATA!P3:P25)</f>
        <v>Density</v>
      </c>
      <c r="E64" s="18"/>
      <c r="F64" s="18"/>
      <c r="G64" s="122" t="e">
        <f>D64*E64*F64</f>
        <v>#VALUE!</v>
      </c>
    </row>
    <row r="65" spans="2:7" x14ac:dyDescent="0.35">
      <c r="B65" s="145"/>
      <c r="C65" s="6" t="s">
        <v>149</v>
      </c>
      <c r="D65" s="105" t="str">
        <f>_xlfn.XLOOKUP(C65,BackUpDATA!O3:O25,BackUpDATA!P3:P25)</f>
        <v>Density</v>
      </c>
      <c r="E65" s="5"/>
      <c r="F65" s="5"/>
      <c r="G65" s="120" t="e">
        <f>D65*E65*F65</f>
        <v>#VALUE!</v>
      </c>
    </row>
    <row r="66" spans="2:7" x14ac:dyDescent="0.35">
      <c r="B66" s="141"/>
      <c r="C66" s="6" t="s">
        <v>151</v>
      </c>
      <c r="D66" s="5"/>
      <c r="E66" s="5"/>
      <c r="F66" s="5"/>
      <c r="G66" s="120">
        <f>D66*E66*F66</f>
        <v>0</v>
      </c>
    </row>
    <row r="67" spans="2:7" x14ac:dyDescent="0.35">
      <c r="B67" s="140" t="s">
        <v>173</v>
      </c>
      <c r="C67" s="6" t="s">
        <v>149</v>
      </c>
      <c r="D67" s="105" t="str">
        <f>_xlfn.XLOOKUP(C67,BackUpDATA!O3:O25,BackUpDATA!P3:P25)</f>
        <v>Density</v>
      </c>
      <c r="E67" s="5"/>
      <c r="F67" s="5"/>
      <c r="G67" s="120" t="e">
        <f>D67*E67*F67</f>
        <v>#VALUE!</v>
      </c>
    </row>
    <row r="68" spans="2:7" x14ac:dyDescent="0.35">
      <c r="B68" s="145"/>
      <c r="C68" s="6" t="s">
        <v>151</v>
      </c>
      <c r="D68" s="5"/>
      <c r="E68" s="5"/>
      <c r="F68" s="5"/>
      <c r="G68" s="120">
        <f t="shared" ref="G68:G69" si="1">D68*E68*F68</f>
        <v>0</v>
      </c>
    </row>
    <row r="69" spans="2:7" x14ac:dyDescent="0.35">
      <c r="B69" s="141"/>
      <c r="C69" s="6" t="s">
        <v>151</v>
      </c>
      <c r="D69" s="5"/>
      <c r="E69" s="5"/>
      <c r="F69" s="5"/>
      <c r="G69" s="120">
        <f t="shared" si="1"/>
        <v>0</v>
      </c>
    </row>
    <row r="70" spans="2:7" ht="16" x14ac:dyDescent="0.35">
      <c r="B70" s="134" t="s">
        <v>73</v>
      </c>
      <c r="C70" s="135"/>
      <c r="D70" s="135"/>
      <c r="E70" s="135"/>
      <c r="F70" s="136"/>
      <c r="G70" s="119">
        <f>_xlfn.AGGREGATE(9,6,G64:G69)</f>
        <v>0</v>
      </c>
    </row>
    <row r="72" spans="2:7" ht="16" x14ac:dyDescent="0.4">
      <c r="B72" s="142" t="s">
        <v>207</v>
      </c>
      <c r="C72" s="143"/>
      <c r="D72" s="143"/>
      <c r="E72" s="143"/>
      <c r="F72" s="143"/>
      <c r="G72" s="144"/>
    </row>
    <row r="73" spans="2:7" ht="16" customHeight="1" x14ac:dyDescent="0.35">
      <c r="B73" s="9" t="s">
        <v>31</v>
      </c>
      <c r="C73" s="9" t="s">
        <v>3</v>
      </c>
      <c r="D73" s="9" t="s">
        <v>4</v>
      </c>
      <c r="E73" s="32" t="s">
        <v>45</v>
      </c>
      <c r="F73" s="9" t="s">
        <v>86</v>
      </c>
      <c r="G73" s="117" t="s">
        <v>32</v>
      </c>
    </row>
    <row r="74" spans="2:7" x14ac:dyDescent="0.35">
      <c r="B74" s="140" t="s">
        <v>10</v>
      </c>
      <c r="C74" s="17" t="s">
        <v>149</v>
      </c>
      <c r="D74" s="105" t="str">
        <f>_xlfn.XLOOKUP(C74,BackUpDATA!O3:O25,BackUpDATA!P3:P25)</f>
        <v>Density</v>
      </c>
      <c r="E74" s="5"/>
      <c r="F74" s="5"/>
      <c r="G74" s="120" t="e">
        <f>D74*E74*F74</f>
        <v>#VALUE!</v>
      </c>
    </row>
    <row r="75" spans="2:7" x14ac:dyDescent="0.35">
      <c r="B75" s="141"/>
      <c r="C75" s="6" t="s">
        <v>151</v>
      </c>
      <c r="D75" s="5"/>
      <c r="E75" s="5"/>
      <c r="F75" s="5"/>
      <c r="G75" s="120">
        <f>D75*E75*F75</f>
        <v>0</v>
      </c>
    </row>
    <row r="76" spans="2:7" ht="16" x14ac:dyDescent="0.35">
      <c r="B76" s="134" t="s">
        <v>73</v>
      </c>
      <c r="C76" s="135"/>
      <c r="D76" s="135"/>
      <c r="E76" s="135"/>
      <c r="F76" s="136"/>
      <c r="G76" s="119">
        <f>_xlfn.AGGREGATE(9,6,G74:G75)</f>
        <v>0</v>
      </c>
    </row>
    <row r="77" spans="2:7" x14ac:dyDescent="0.35">
      <c r="B77" s="19"/>
      <c r="C77" s="19"/>
      <c r="E77" s="2"/>
      <c r="F77" s="2"/>
      <c r="G77" s="115"/>
    </row>
    <row r="78" spans="2:7" ht="16" x14ac:dyDescent="0.4">
      <c r="B78" s="142" t="s">
        <v>208</v>
      </c>
      <c r="C78" s="143"/>
      <c r="D78" s="143"/>
      <c r="E78" s="143"/>
      <c r="F78" s="143"/>
      <c r="G78" s="144"/>
    </row>
    <row r="79" spans="2:7" x14ac:dyDescent="0.35">
      <c r="B79" s="9" t="s">
        <v>31</v>
      </c>
      <c r="C79" s="9" t="s">
        <v>3</v>
      </c>
      <c r="D79" s="9" t="s">
        <v>4</v>
      </c>
      <c r="E79" s="9" t="s">
        <v>45</v>
      </c>
      <c r="F79" s="9" t="s">
        <v>86</v>
      </c>
      <c r="G79" s="117" t="s">
        <v>32</v>
      </c>
    </row>
    <row r="80" spans="2:7" x14ac:dyDescent="0.35">
      <c r="B80" s="140" t="s">
        <v>157</v>
      </c>
      <c r="C80" s="17" t="s">
        <v>149</v>
      </c>
      <c r="D80" s="106" t="str">
        <f>_xlfn.XLOOKUP(C80,BackUpDATA!O3:O25,BackUpDATA!P3:P25)</f>
        <v>Density</v>
      </c>
      <c r="E80" s="5"/>
      <c r="F80" s="5"/>
      <c r="G80" s="120" t="e">
        <f t="shared" ref="G80:G85" si="2">D80*E80*F80</f>
        <v>#VALUE!</v>
      </c>
    </row>
    <row r="81" spans="2:7" x14ac:dyDescent="0.35">
      <c r="B81" s="141"/>
      <c r="C81" s="6" t="s">
        <v>151</v>
      </c>
      <c r="D81" s="5"/>
      <c r="E81" s="5"/>
      <c r="F81" s="5"/>
      <c r="G81" s="120">
        <f t="shared" si="2"/>
        <v>0</v>
      </c>
    </row>
    <row r="82" spans="2:7" x14ac:dyDescent="0.35">
      <c r="B82" s="146" t="s">
        <v>158</v>
      </c>
      <c r="C82" s="14" t="s">
        <v>149</v>
      </c>
      <c r="D82" s="104" t="str">
        <f>_xlfn.XLOOKUP(C82,BackUpDATA!O3:O25,BackUpDATA!P3:P25)</f>
        <v>Density</v>
      </c>
      <c r="E82" s="5"/>
      <c r="F82" s="5"/>
      <c r="G82" s="120" t="e">
        <f t="shared" si="2"/>
        <v>#VALUE!</v>
      </c>
    </row>
    <row r="83" spans="2:7" x14ac:dyDescent="0.35">
      <c r="B83" s="147"/>
      <c r="C83" s="6" t="s">
        <v>151</v>
      </c>
      <c r="D83" s="5"/>
      <c r="E83" s="5"/>
      <c r="F83" s="5"/>
      <c r="G83" s="120">
        <f t="shared" si="2"/>
        <v>0</v>
      </c>
    </row>
    <row r="84" spans="2:7" x14ac:dyDescent="0.35">
      <c r="B84" s="147"/>
      <c r="C84" s="6" t="s">
        <v>103</v>
      </c>
      <c r="D84" s="104" t="str">
        <f>_xlfn.XLOOKUP(C84,BackUpDATA!S2:S24,BackUpDATA!T2:T24)</f>
        <v>Density</v>
      </c>
      <c r="E84" s="5"/>
      <c r="F84" s="5"/>
      <c r="G84" s="120" t="e">
        <f t="shared" si="2"/>
        <v>#VALUE!</v>
      </c>
    </row>
    <row r="85" spans="2:7" x14ac:dyDescent="0.35">
      <c r="B85" s="148"/>
      <c r="C85" s="14" t="s">
        <v>101</v>
      </c>
      <c r="D85" s="104">
        <v>1</v>
      </c>
      <c r="E85" s="5"/>
      <c r="F85" s="5"/>
      <c r="G85" s="120">
        <f t="shared" si="2"/>
        <v>0</v>
      </c>
    </row>
    <row r="86" spans="2:7" ht="16" x14ac:dyDescent="0.35">
      <c r="B86" s="134" t="s">
        <v>110</v>
      </c>
      <c r="C86" s="135"/>
      <c r="D86" s="135"/>
      <c r="E86" s="135"/>
      <c r="F86" s="136"/>
      <c r="G86" s="119">
        <f>_xlfn.AGGREGATE(9,6,G80:G85)</f>
        <v>0</v>
      </c>
    </row>
    <row r="88" spans="2:7" ht="16" x14ac:dyDescent="0.35">
      <c r="B88" s="137" t="s">
        <v>209</v>
      </c>
      <c r="C88" s="138"/>
      <c r="D88" s="138"/>
      <c r="E88" s="138"/>
      <c r="F88" s="138"/>
      <c r="G88" s="139"/>
    </row>
    <row r="89" spans="2:7" x14ac:dyDescent="0.35">
      <c r="B89" s="9" t="s">
        <v>31</v>
      </c>
      <c r="C89" s="9" t="s">
        <v>3</v>
      </c>
      <c r="D89" s="9" t="s">
        <v>4</v>
      </c>
      <c r="E89" s="9" t="s">
        <v>45</v>
      </c>
      <c r="F89" s="9" t="s">
        <v>86</v>
      </c>
      <c r="G89" s="117" t="s">
        <v>32</v>
      </c>
    </row>
    <row r="90" spans="2:7" x14ac:dyDescent="0.35">
      <c r="B90" s="140" t="s">
        <v>37</v>
      </c>
      <c r="C90" s="17" t="s">
        <v>13</v>
      </c>
      <c r="D90" s="16">
        <v>0.79100000000000004</v>
      </c>
      <c r="E90" s="5"/>
      <c r="F90" s="5"/>
      <c r="G90" s="120">
        <f>D90*E90*F90</f>
        <v>0</v>
      </c>
    </row>
    <row r="91" spans="2:7" x14ac:dyDescent="0.35">
      <c r="B91" s="141"/>
      <c r="C91" s="17" t="s">
        <v>151</v>
      </c>
      <c r="D91" s="110"/>
      <c r="E91" s="5"/>
      <c r="F91" s="5"/>
      <c r="G91" s="120">
        <f>D91*E91*F91</f>
        <v>0</v>
      </c>
    </row>
    <row r="92" spans="2:7" x14ac:dyDescent="0.35">
      <c r="B92" s="10" t="s">
        <v>40</v>
      </c>
      <c r="C92" s="14" t="s">
        <v>161</v>
      </c>
      <c r="D92" s="104" t="str">
        <f>_xlfn.XLOOKUP(C92,BackUpDATA!X3:X25,BackUpDATA!Y3:Y25)</f>
        <v>Density</v>
      </c>
      <c r="E92" s="5"/>
      <c r="F92" s="13">
        <v>1</v>
      </c>
      <c r="G92" s="120" t="e">
        <f>D92*E92*F92</f>
        <v>#VALUE!</v>
      </c>
    </row>
    <row r="93" spans="2:7" x14ac:dyDescent="0.35">
      <c r="B93" s="20" t="s">
        <v>39</v>
      </c>
      <c r="C93" s="6" t="s">
        <v>168</v>
      </c>
      <c r="D93" s="104" t="str">
        <f>_xlfn.XLOOKUP(C93,BackUpDATA!Z3:Z25,BackUpDATA!AA3:AA25)</f>
        <v>Density</v>
      </c>
      <c r="E93" s="5"/>
      <c r="F93" s="5"/>
      <c r="G93" s="120" t="e">
        <f>D93*E93*F93</f>
        <v>#VALUE!</v>
      </c>
    </row>
    <row r="94" spans="2:7" ht="16" x14ac:dyDescent="0.35">
      <c r="B94" s="134" t="s">
        <v>73</v>
      </c>
      <c r="C94" s="135"/>
      <c r="D94" s="135"/>
      <c r="E94" s="135"/>
      <c r="F94" s="136"/>
      <c r="G94" s="123">
        <f>_xlfn.AGGREGATE(9,6,G90:G93)</f>
        <v>0</v>
      </c>
    </row>
    <row r="95" spans="2:7" x14ac:dyDescent="0.35">
      <c r="B95" s="21"/>
      <c r="C95" s="1"/>
      <c r="D95" s="3"/>
      <c r="E95" s="3"/>
      <c r="F95" s="3"/>
      <c r="G95" s="124"/>
    </row>
    <row r="96" spans="2:7" ht="16" x14ac:dyDescent="0.35">
      <c r="B96" s="137" t="s">
        <v>210</v>
      </c>
      <c r="C96" s="138"/>
      <c r="D96" s="138"/>
      <c r="E96" s="138"/>
      <c r="F96" s="138"/>
      <c r="G96" s="139"/>
    </row>
    <row r="97" spans="2:7" x14ac:dyDescent="0.35">
      <c r="B97" s="9" t="s">
        <v>31</v>
      </c>
      <c r="C97" s="9" t="s">
        <v>3</v>
      </c>
      <c r="D97" s="9" t="s">
        <v>4</v>
      </c>
      <c r="E97" s="9"/>
      <c r="F97" s="9" t="s">
        <v>45</v>
      </c>
      <c r="G97" s="117" t="s">
        <v>32</v>
      </c>
    </row>
    <row r="98" spans="2:7" ht="16" x14ac:dyDescent="0.35">
      <c r="B98" s="10" t="s">
        <v>41</v>
      </c>
      <c r="C98" s="14" t="s">
        <v>149</v>
      </c>
      <c r="D98" s="104" t="str">
        <f>_xlfn.XLOOKUP(C98,BackUpDATA!AB3:AB25,BackUpDATA!AC3:AC25)</f>
        <v>Density</v>
      </c>
      <c r="E98" s="5"/>
      <c r="F98" s="5"/>
      <c r="G98" s="119" t="e">
        <f>D98*F98</f>
        <v>#VALUE!</v>
      </c>
    </row>
    <row r="99" spans="2:7" ht="16" x14ac:dyDescent="0.35">
      <c r="B99" s="137" t="s">
        <v>211</v>
      </c>
      <c r="C99" s="138"/>
      <c r="D99" s="138"/>
      <c r="E99" s="138"/>
      <c r="F99" s="138"/>
      <c r="G99" s="139"/>
    </row>
    <row r="100" spans="2:7" x14ac:dyDescent="0.35">
      <c r="B100" s="9" t="s">
        <v>31</v>
      </c>
      <c r="C100" s="9" t="s">
        <v>3</v>
      </c>
      <c r="D100" s="9" t="s">
        <v>4</v>
      </c>
      <c r="E100" s="9" t="s">
        <v>174</v>
      </c>
      <c r="F100" s="9" t="s">
        <v>44</v>
      </c>
      <c r="G100" s="117" t="s">
        <v>32</v>
      </c>
    </row>
    <row r="101" spans="2:7" ht="16" x14ac:dyDescent="0.35">
      <c r="B101" s="10" t="s">
        <v>42</v>
      </c>
      <c r="C101" s="14" t="s">
        <v>3</v>
      </c>
      <c r="D101" s="13">
        <v>1</v>
      </c>
      <c r="E101" s="5"/>
      <c r="F101" s="5"/>
      <c r="G101" s="119">
        <f>D101*E101*F101</f>
        <v>0</v>
      </c>
    </row>
    <row r="103" spans="2:7" ht="16" x14ac:dyDescent="0.35">
      <c r="B103" s="128" t="s">
        <v>111</v>
      </c>
      <c r="C103" s="129"/>
      <c r="D103" s="129"/>
      <c r="E103" s="129"/>
      <c r="F103" s="130"/>
      <c r="G103" s="119">
        <f>_xlfn.AGGREGATE(9,6,G70,G76,G86,G94,G98,G101)</f>
        <v>0</v>
      </c>
    </row>
    <row r="106" spans="2:7" ht="19.5" customHeight="1" x14ac:dyDescent="0.45">
      <c r="B106" s="127" t="s">
        <v>192</v>
      </c>
      <c r="C106" s="127"/>
    </row>
    <row r="107" spans="2:7" ht="18.5" x14ac:dyDescent="0.45">
      <c r="B107" s="44" t="s">
        <v>74</v>
      </c>
      <c r="C107" s="45" t="e">
        <f>F4</f>
        <v>#DIV/0!</v>
      </c>
    </row>
    <row r="108" spans="2:7" ht="18.5" x14ac:dyDescent="0.45">
      <c r="B108" s="44" t="s">
        <v>75</v>
      </c>
      <c r="C108" s="45">
        <f>F37</f>
        <v>0</v>
      </c>
    </row>
    <row r="109" spans="2:7" ht="18.5" x14ac:dyDescent="0.45">
      <c r="B109" s="44" t="s">
        <v>105</v>
      </c>
      <c r="C109" s="45">
        <f>G58</f>
        <v>0</v>
      </c>
    </row>
    <row r="110" spans="2:7" ht="18.5" x14ac:dyDescent="0.45">
      <c r="B110" s="44" t="s">
        <v>77</v>
      </c>
      <c r="C110" s="45">
        <f>G103</f>
        <v>0</v>
      </c>
    </row>
    <row r="111" spans="2:7" ht="18.5" x14ac:dyDescent="0.45">
      <c r="B111" s="44" t="s">
        <v>73</v>
      </c>
      <c r="C111" s="45" t="e">
        <f>C107+C108+C109+C110</f>
        <v>#DIV/0!</v>
      </c>
    </row>
    <row r="112" spans="2:7" ht="18.5" x14ac:dyDescent="0.45">
      <c r="B112" s="44" t="s">
        <v>106</v>
      </c>
      <c r="C112" s="91">
        <f>F6</f>
        <v>0</v>
      </c>
    </row>
    <row r="113" spans="2:3" ht="18.5" x14ac:dyDescent="0.45">
      <c r="B113" s="44" t="s">
        <v>107</v>
      </c>
      <c r="C113" s="45" t="e">
        <f>C111-C112</f>
        <v>#DIV/0!</v>
      </c>
    </row>
    <row r="114" spans="2:3" ht="18.5" x14ac:dyDescent="0.45">
      <c r="B114" s="46" t="s">
        <v>78</v>
      </c>
      <c r="C114" s="47" t="e">
        <f>C111/C112</f>
        <v>#DIV/0!</v>
      </c>
    </row>
    <row r="115" spans="2:3" ht="18.5" x14ac:dyDescent="0.45">
      <c r="B115" s="46" t="s">
        <v>79</v>
      </c>
      <c r="C115" s="47" t="e">
        <f>C113/C112</f>
        <v>#DIV/0!</v>
      </c>
    </row>
  </sheetData>
  <mergeCells count="44">
    <mergeCell ref="B2:F2"/>
    <mergeCell ref="B3:C3"/>
    <mergeCell ref="B4:C4"/>
    <mergeCell ref="B9:F9"/>
    <mergeCell ref="D10:D11"/>
    <mergeCell ref="E10:E11"/>
    <mergeCell ref="F10:F11"/>
    <mergeCell ref="B6:E6"/>
    <mergeCell ref="B5:C5"/>
    <mergeCell ref="D4:D5"/>
    <mergeCell ref="E4:E5"/>
    <mergeCell ref="F4:F5"/>
    <mergeCell ref="B86:F86"/>
    <mergeCell ref="B82:B85"/>
    <mergeCell ref="B80:B81"/>
    <mergeCell ref="B37:D37"/>
    <mergeCell ref="B50:G50"/>
    <mergeCell ref="B60:G60"/>
    <mergeCell ref="B58:F58"/>
    <mergeCell ref="B39:G39"/>
    <mergeCell ref="B41:G41"/>
    <mergeCell ref="B48:F48"/>
    <mergeCell ref="B44:C44"/>
    <mergeCell ref="B45:C45"/>
    <mergeCell ref="B42:C42"/>
    <mergeCell ref="B43:C43"/>
    <mergeCell ref="B46:C46"/>
    <mergeCell ref="B47:C47"/>
    <mergeCell ref="B106:C106"/>
    <mergeCell ref="B103:F103"/>
    <mergeCell ref="B56:F56"/>
    <mergeCell ref="B94:F94"/>
    <mergeCell ref="B96:G96"/>
    <mergeCell ref="B99:G99"/>
    <mergeCell ref="B90:B91"/>
    <mergeCell ref="B62:G62"/>
    <mergeCell ref="B72:G72"/>
    <mergeCell ref="B76:F76"/>
    <mergeCell ref="B78:G78"/>
    <mergeCell ref="B67:B69"/>
    <mergeCell ref="B64:B66"/>
    <mergeCell ref="B74:B75"/>
    <mergeCell ref="B88:G88"/>
    <mergeCell ref="B70:F70"/>
  </mergeCells>
  <dataValidations xWindow="807" yWindow="776" count="33">
    <dataValidation allowBlank="1" showInputMessage="1" showErrorMessage="1" promptTitle="Type of Resin" sqref="B6" xr:uid="{20ED90AF-556E-43C8-A177-8018C28E86B1}"/>
    <dataValidation type="list" allowBlank="1" showInputMessage="1" showErrorMessage="1" sqref="C7:C8" xr:uid="{ABBFF276-69E3-4281-A8E6-8766CF1EC672}">
      <formula1>$C$4:$C$9</formula1>
    </dataValidation>
    <dataValidation allowBlank="1" showInputMessage="1" showErrorMessage="1" promptTitle="Loading in mmol/g" prompt="Enter the loading of the resin in mmol/g" sqref="D4:D5" xr:uid="{AC0DEF0F-D12D-444D-9F56-E54C6C138D14}"/>
    <dataValidation allowBlank="1" showInputMessage="1" showErrorMessage="1" promptTitle="Scale of Synthesis (mmol)" prompt="Enter the scale of synthesis in mmol" sqref="E4:E5" xr:uid="{5F53044B-B027-451A-A892-8071C84096BE}"/>
    <dataValidation allowBlank="1" showInputMessage="1" showErrorMessage="1" promptTitle="Final Peptide Obtained (g)" prompt="Enter the final amount of peptide obtained in grams." sqref="F6" xr:uid="{918579FF-8B6C-4B62-B3E6-97580FB3B448}"/>
    <dataValidation allowBlank="1" showInputMessage="1" showErrorMessage="1" promptTitle="Equivalents of amino acids" prompt="Enter the equivalents of amino acids used in the synthesis. This is a dimensionless unit and should be a number like, 2.0, 2.5, 3.0, 5.0 etc." sqref="D12:D22 D24:D36 D23" xr:uid="{154A360A-B59A-4C65-83D5-FEDB0A1F6BDA}"/>
    <dataValidation allowBlank="1" showInputMessage="1" showErrorMessage="1" promptTitle="Repetition in the sequence" prompt="Respectively, if any, enter the repetition. If it is not repeating, enter 1. " sqref="E33 E34:E36 E12:E19 E21:E32 E20" xr:uid="{A56E5616-C7AD-49EA-B9E7-9924632347D6}"/>
    <dataValidation allowBlank="1" showInputMessage="1" showErrorMessage="1" promptTitle="Equivalents" prompt="Enter the equivalents used in the synthesis. It must be a number (either integer or decimal number)." sqref="E43:E47" xr:uid="{08E14727-B5C5-4339-8331-9704F12F97B1}"/>
    <dataValidation allowBlank="1" showInputMessage="1" showErrorMessage="1" promptTitle="Repetition in the sequence" prompt="Enter the repetition for number of coupling performed in the peptide synthesis." sqref="F43:F47" xr:uid="{3A25A278-9977-4DCA-8D66-C92A4915C3C5}"/>
    <dataValidation allowBlank="1" showInputMessage="1" showErrorMessage="1" promptTitle="Any other base/cocktail" prompt="Enter the molecular weight for the respective base or cocktail used." sqref="C54:C55" xr:uid="{DCE6B176-BABA-444E-898B-2711DE30FD19}"/>
    <dataValidation allowBlank="1" showInputMessage="1" showErrorMessage="1" promptTitle="Density for the base/cocktail" prompt="Enter the respective density for the base/cocktail (if any)" sqref="D54:D55" xr:uid="{A15748FF-D599-44AC-98F5-B882E787BE1A}"/>
    <dataValidation allowBlank="1" showInputMessage="1" showErrorMessage="1" promptTitle="Equivalents or mL" prompt="In case of in-situ Fmoc removal enter the mL and in case of cocktail enter the equivalents used." sqref="E52:E55" xr:uid="{7E4F994E-7DF1-43EE-8418-9281F50EAF6D}"/>
    <dataValidation allowBlank="1" showInputMessage="1" showErrorMessage="1" promptTitle="Repetition in Fmoc removal" prompt="Enter the repetition of Fmoc removal in each case (including the one from Fmoc of RinkAmide resin)." sqref="F52:F55" xr:uid="{9D71B0BD-D7DF-460A-82DB-B5732F8CA6FD}"/>
    <dataValidation allowBlank="1" showInputMessage="1" showErrorMessage="1" promptTitle="Amount of solvent/cocktail" prompt="Enter the amount of solvent (in mL) used after peptide synthesis for precipitation." sqref="E93" xr:uid="{15297C75-9EF4-4984-A2E4-616A59C0B810}"/>
    <dataValidation allowBlank="1" showInputMessage="1" showErrorMessage="1" promptTitle="Repetition for the solvent" prompt="Enter the repetition for precipitation (in mL)." sqref="F93" xr:uid="{2F2BA551-691D-4080-8991-18BBD6869546}"/>
    <dataValidation allowBlank="1" showInputMessage="1" showErrorMessage="1" promptTitle="Amount of solvent (mL)" prompt="Enter the amount of solvent used to prepare the sample (in mL)." sqref="F98" xr:uid="{0DF785EF-CFA8-42A8-838F-6D4850389F43}"/>
    <dataValidation allowBlank="1" showInputMessage="1" showErrorMessage="1" promptTitle="Details of other amino acid used" prompt="Enter the name of any other amino acid used in the sequence apart from the standard mentioned above." sqref="B32:B36" xr:uid="{CE1B8C6A-ACBE-470F-AB3A-C26BB6816802}"/>
    <dataValidation allowBlank="1" showInputMessage="1" showErrorMessage="1" promptTitle="Any other amino acid" prompt="Enter the molecular weight of respective amino acid used" sqref="C32:C36" xr:uid="{FA271F72-230D-43EC-A154-5C5CB199F797}"/>
    <dataValidation allowBlank="1" showInputMessage="1" showErrorMessage="1" promptTitle="Coupling Reagent" prompt="Enter any other coupling reagent used (not mentioned in the above dropdown menu)." sqref="B44:C44 B45:C45" xr:uid="{42C0C8BA-9E53-4235-8855-E18EA67E583E}"/>
    <dataValidation allowBlank="1" showInputMessage="1" showErrorMessage="1" promptTitle="Molecular weight" prompt="Enter the respective molecular weight of the coupling reagent" sqref="D44:D45" xr:uid="{312DCDE7-A6BE-4634-8436-7420A6F4149C}"/>
    <dataValidation allowBlank="1" showInputMessage="1" showErrorMessage="1" promptTitle="Any other base/cocktail" prompt="Enter the details of any other base used in Fmoc removal." sqref="B54:B55" xr:uid="{89CBFD34-C789-4143-A027-998FB5FDE919}"/>
    <dataValidation allowBlank="1" showInputMessage="1" showErrorMessage="1" promptTitle="Any other solvent" prompt="Enter the respective solvent used (if not mentioned in the dropdown menu)." sqref="C66 C68 C69 C75 C81 C83" xr:uid="{9991DEAE-7A4F-474D-B259-449A12DDF67B}"/>
    <dataValidation allowBlank="1" showInputMessage="1" showErrorMessage="1" promptTitle="Density" prompt="Enter the resepective density of the solvent used." sqref="D69 D81 D75 D68 D66 D83 D91" xr:uid="{0B4A4D0E-7C8F-4F6A-8229-CF744454826D}"/>
    <dataValidation allowBlank="1" showInputMessage="1" showErrorMessage="1" promptTitle="Solvent in coupling " prompt="Enter the amount (in mL) for the solvent used for washing" sqref="E80:E85" xr:uid="{B8C170C2-D925-42FC-8B73-EE397BD2A776}"/>
    <dataValidation allowBlank="1" showInputMessage="1" showErrorMessage="1" promptTitle="Solvent: Coupling (in mL)" prompt="Enter the amount of solvent used per coupling (mL)" sqref="E74:E75" xr:uid="{60DB7F6D-D56C-46BA-91CB-0178A27E073E}"/>
    <dataValidation allowBlank="1" showInputMessage="1" showErrorMessage="1" promptTitle="Repetition " prompt="Enter the repetition done during the preparation." sqref="F64:F66 F68:F69 F67 F80:F85" xr:uid="{01504C87-5F37-4B1B-881C-F0023B0260DF}"/>
    <dataValidation allowBlank="1" showInputMessage="1" showErrorMessage="1" promptTitle="Repetition" prompt="Enter the whole number for repetition during coupling (depends on the sequence)." sqref="F74:F75" xr:uid="{1ADFBDE6-55C9-47B9-82CC-016FBB42328D}"/>
    <dataValidation allowBlank="1" showInputMessage="1" showErrorMessage="1" promptTitle="Amount of Solvent" prompt="Enter for amount (mL) of solvent." sqref="E64:E69" xr:uid="{37C94CB9-97F1-4E68-A35E-F39E341DDBFF}"/>
    <dataValidation allowBlank="1" showInputMessage="1" showErrorMessage="1" promptTitle="Type of Resin" prompt="Enter the details of any other resin used which is not mentioned in the dropdown menu." sqref="B5:C5" xr:uid="{753DFEFF-B973-41E8-A248-59A1671EC07C}"/>
    <dataValidation allowBlank="1" showInputMessage="1" showErrorMessage="1" promptTitle="Any other solvent" prompt="Enter the respective solvent used (if not methanol)." sqref="C91" xr:uid="{C666A7BE-DC68-4DA6-AE75-59C31BD0A326}"/>
    <dataValidation allowBlank="1" showInputMessage="1" showErrorMessage="1" promptTitle="Amount of solvent/cocktail" prompt="Enter the amount of solvent (in mL) used after peptide synthesis for final wash." sqref="E90 E91" xr:uid="{77BEBEFD-5809-450E-9648-E892AED0ED2B}"/>
    <dataValidation allowBlank="1" showInputMessage="1" showErrorMessage="1" promptTitle="Amount of solvent/cocktail" prompt="Enter the amount of solvent (in mL) used after peptide synthesis for peptide cleavage." sqref="E92" xr:uid="{6F433849-40F7-4795-9917-F0237FF3B6B1}"/>
    <dataValidation allowBlank="1" showInputMessage="1" showErrorMessage="1" promptTitle="Repetition for the solvent" prompt="Enter the repetition for the final wash (in mL)." sqref="F90:F91" xr:uid="{E9530BCD-0527-4825-9217-BE3CA59AA1C7}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xWindow="807" yWindow="776" count="16">
        <x14:dataValidation type="list" allowBlank="1" showInputMessage="1" showErrorMessage="1" promptTitle="Coupling Reagent" prompt="Select the coupling reagent from the dropdown menu." xr:uid="{93ACE84B-4BDE-43A4-8556-CE86580A686B}">
          <x14:formula1>
            <xm:f>BackUpDATA!$D$3:$D$25</xm:f>
          </x14:formula1>
          <xm:sqref>B43:C43</xm:sqref>
        </x14:dataValidation>
        <x14:dataValidation type="list" allowBlank="1" showInputMessage="1" showErrorMessage="1" promptTitle="Fmoc removal reagent in-situ" prompt="Select the Fmoc removal cocktail from the dropdown menu." xr:uid="{F6F244E0-5FBA-4A1C-84E2-4AECE2548A95}">
          <x14:formula1>
            <xm:f>BackUpDATA!$L$3:$L$25</xm:f>
          </x14:formula1>
          <xm:sqref>B53</xm:sqref>
        </x14:dataValidation>
        <x14:dataValidation type="list" allowBlank="1" showInputMessage="1" showErrorMessage="1" promptTitle="Fmoc removal" prompt="Select the Fmoc removal cocktail from the dropdown menu." xr:uid="{63457BC5-DE64-4460-9B89-95DF89414DFF}">
          <x14:formula1>
            <xm:f>BackUpDATA!$J$3:$J$25</xm:f>
          </x14:formula1>
          <xm:sqref>B52</xm:sqref>
        </x14:dataValidation>
        <x14:dataValidation type="list" allowBlank="1" showInputMessage="1" showErrorMessage="1" promptTitle="Solvent choice" prompt="Select the solvent from the dropdown menu used for washing of resin after coupling (if any). If no washing was done, leave the cells empty." xr:uid="{64AED36C-0468-427B-91A3-E4E52E6133CB}">
          <x14:formula1>
            <xm:f>BackUpDATA!$O$3:$O$11</xm:f>
          </x14:formula1>
          <xm:sqref>C80</xm:sqref>
        </x14:dataValidation>
        <x14:dataValidation type="list" allowBlank="1" showInputMessage="1" showErrorMessage="1" prompt="Select the solvent from the dropdown menu used for washing of resin after Fmoc removal." xr:uid="{4890CEE4-DC5D-4460-B314-C0FB80C15A2D}">
          <x14:formula1>
            <xm:f>BackUpDATA!$O$3:$O$25</xm:f>
          </x14:formula1>
          <xm:sqref>C82</xm:sqref>
        </x14:dataValidation>
        <x14:dataValidation type="list" allowBlank="1" showInputMessage="1" showErrorMessage="1" promptTitle="Additives" prompt="Select the additives from the dropdown menu" xr:uid="{FD091AF0-B7B9-4B4A-A338-226615608457}">
          <x14:formula1>
            <xm:f>BackUpDATA!$F$3:$F$25</xm:f>
          </x14:formula1>
          <xm:sqref>B46:C46</xm:sqref>
        </x14:dataValidation>
        <x14:dataValidation type="list" allowBlank="1" showInputMessage="1" showErrorMessage="1" promptTitle="Base" prompt="Select the base from the dropdown menu" xr:uid="{151FA58C-1BBE-4C1E-968A-4E2B2C3EA86D}">
          <x14:formula1>
            <xm:f>BackUpDATA!$H$3:$H$25</xm:f>
          </x14:formula1>
          <xm:sqref>B47:C47</xm:sqref>
        </x14:dataValidation>
        <x14:dataValidation type="list" allowBlank="1" showInputMessage="1" showErrorMessage="1" xr:uid="{58002D91-8209-44FD-B89F-D383C6122526}">
          <x14:formula1>
            <xm:f>BackUpDATA!$S$3:$S$25</xm:f>
          </x14:formula1>
          <xm:sqref>C84</xm:sqref>
        </x14:dataValidation>
        <x14:dataValidation type="list" allowBlank="1" showInputMessage="1" showErrorMessage="1" xr:uid="{A6F1D6E7-02A7-4F38-B80F-11EF1880AEA8}">
          <x14:formula1>
            <xm:f>BackUpDATA!$V$2:$V$5</xm:f>
          </x14:formula1>
          <xm:sqref>C85</xm:sqref>
        </x14:dataValidation>
        <x14:dataValidation type="list" allowBlank="1" showInputMessage="1" showErrorMessage="1" promptTitle="Global deprotection cocktail" prompt="Select the used cocktail from the dropdown menu." xr:uid="{300117F7-04A1-4B18-8340-C9522E167049}">
          <x14:formula1>
            <xm:f>BackUpDATA!$X$3:$X$25</xm:f>
          </x14:formula1>
          <xm:sqref>C92</xm:sqref>
        </x14:dataValidation>
        <x14:dataValidation type="list" allowBlank="1" showInputMessage="1" showErrorMessage="1" promptTitle="Ether for precipitation" prompt="Select the ether used from the dropdown menu used for precipitation." xr:uid="{3F057E6A-42CE-437F-BE68-2900CAA7DED9}">
          <x14:formula1>
            <xm:f>BackUpDATA!$Z$3:$Z$25</xm:f>
          </x14:formula1>
          <xm:sqref>C93</xm:sqref>
        </x14:dataValidation>
        <x14:dataValidation type="list" allowBlank="1" showInputMessage="1" showErrorMessage="1" promptTitle="Sample preparation: purification" prompt="Select the solvent used to prepare the sample prior to purification (in mL)" xr:uid="{FBB1E12A-65C9-4BBB-91CA-C2F1A853865A}">
          <x14:formula1>
            <xm:f>BackUpDATA!$AB$3:$AB$25</xm:f>
          </x14:formula1>
          <xm:sqref>C98</xm:sqref>
        </x14:dataValidation>
        <x14:dataValidation type="list" allowBlank="1" showInputMessage="1" showErrorMessage="1" promptTitle="Solvent Choice" prompt="Select the solvent from the dropdown menu used for coupling" xr:uid="{17ADEC61-5602-49D3-874C-682214619A19}">
          <x14:formula1>
            <xm:f>BackUpDATA!$O$3:$O$25</xm:f>
          </x14:formula1>
          <xm:sqref>C74</xm:sqref>
        </x14:dataValidation>
        <x14:dataValidation type="list" allowBlank="1" showInputMessage="1" showErrorMessage="1" promptTitle="Type of Resin" prompt="Select the resin type from the dropdown menu" xr:uid="{F887B865-66C2-48D0-A771-D8F4F68C6C40}">
          <x14:formula1>
            <xm:f>BackUpDATA!$A$4:$A$25</xm:f>
          </x14:formula1>
          <xm:sqref>B4:C4</xm:sqref>
        </x14:dataValidation>
        <x14:dataValidation type="list" allowBlank="1" showInputMessage="1" showErrorMessage="1" promptTitle="Solvent Choice" prompt="Select the solvent from the dropdown menu used for swelling the resin" xr:uid="{E7FDE6A5-7A36-44D0-9FF7-28B7EF893235}">
          <x14:formula1>
            <xm:f>BackUpDATA!$O$3:$O$25</xm:f>
          </x14:formula1>
          <xm:sqref>C64 C65</xm:sqref>
        </x14:dataValidation>
        <x14:dataValidation type="list" allowBlank="1" showInputMessage="1" showErrorMessage="1" promptTitle="Solvent Choice" prompt="Select the solvent from the dropdown menu used for washing the resin after swelling." xr:uid="{A427B60E-4B6A-43E3-A19E-441A4650597E}">
          <x14:formula1>
            <xm:f>BackUpDATA!$O$3:$O$25</xm:f>
          </x14:formula1>
          <xm:sqref>C67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E4C49-A661-401A-BCD9-CEB18D6F254A}">
  <dimension ref="B2:M135"/>
  <sheetViews>
    <sheetView tabSelected="1" topLeftCell="A108" zoomScale="115" zoomScaleNormal="115" workbookViewId="0">
      <selection activeCell="I116" sqref="I116"/>
    </sheetView>
  </sheetViews>
  <sheetFormatPr defaultRowHeight="14.5" x14ac:dyDescent="0.35"/>
  <cols>
    <col min="1" max="1" width="2.54296875" customWidth="1"/>
    <col min="2" max="2" width="21.7265625" customWidth="1"/>
    <col min="3" max="3" width="19.36328125" customWidth="1"/>
    <col min="4" max="4" width="21.08984375" customWidth="1"/>
    <col min="5" max="5" width="16" customWidth="1"/>
    <col min="6" max="6" width="14.6328125" customWidth="1"/>
    <col min="7" max="7" width="14.7265625" customWidth="1"/>
    <col min="8" max="8" width="16.1796875" customWidth="1"/>
  </cols>
  <sheetData>
    <row r="2" spans="2:13" ht="18.5" x14ac:dyDescent="0.45">
      <c r="B2" s="150" t="s">
        <v>194</v>
      </c>
      <c r="C2" s="150"/>
      <c r="D2" s="150"/>
      <c r="E2" s="150"/>
      <c r="F2" s="150"/>
    </row>
    <row r="4" spans="2:13" ht="16" x14ac:dyDescent="0.35">
      <c r="B4" s="183" t="s">
        <v>186</v>
      </c>
      <c r="C4" s="183"/>
      <c r="D4" s="183"/>
      <c r="E4" s="183"/>
      <c r="F4" s="183"/>
    </row>
    <row r="5" spans="2:13" x14ac:dyDescent="0.35">
      <c r="B5" s="184" t="s">
        <v>17</v>
      </c>
      <c r="C5" s="184"/>
      <c r="D5" s="9" t="s">
        <v>11</v>
      </c>
      <c r="E5" s="9" t="s">
        <v>9</v>
      </c>
      <c r="F5" s="9" t="s">
        <v>32</v>
      </c>
    </row>
    <row r="6" spans="2:13" ht="16" x14ac:dyDescent="0.35">
      <c r="B6" s="185" t="s">
        <v>96</v>
      </c>
      <c r="C6" s="185"/>
      <c r="D6" s="5"/>
      <c r="E6" s="5"/>
      <c r="F6" s="24">
        <f>(D6*E6)/1000</f>
        <v>0</v>
      </c>
      <c r="H6" s="186"/>
      <c r="I6" s="186"/>
      <c r="J6" s="186"/>
      <c r="K6" s="186"/>
      <c r="L6" s="186"/>
    </row>
    <row r="7" spans="2:13" ht="16" x14ac:dyDescent="0.35">
      <c r="B7" s="166" t="s">
        <v>85</v>
      </c>
      <c r="C7" s="167"/>
      <c r="D7" s="167"/>
      <c r="E7" s="168"/>
      <c r="F7" s="33"/>
      <c r="H7" s="30"/>
      <c r="I7" s="30"/>
      <c r="J7" s="30"/>
      <c r="K7" s="30"/>
      <c r="L7" s="30"/>
    </row>
    <row r="8" spans="2:13" x14ac:dyDescent="0.35">
      <c r="H8" s="4"/>
      <c r="I8" s="4"/>
      <c r="J8" s="25"/>
      <c r="K8" s="25"/>
      <c r="L8" s="4"/>
      <c r="M8" s="4"/>
    </row>
    <row r="9" spans="2:13" ht="16" x14ac:dyDescent="0.35">
      <c r="B9" s="137" t="s">
        <v>187</v>
      </c>
      <c r="C9" s="138"/>
      <c r="D9" s="138"/>
      <c r="E9" s="138"/>
      <c r="F9" s="139"/>
      <c r="H9" s="28"/>
      <c r="I9" s="3"/>
      <c r="J9" s="26"/>
      <c r="K9" s="2"/>
      <c r="L9" s="2"/>
      <c r="M9" s="27"/>
    </row>
    <row r="10" spans="2:13" x14ac:dyDescent="0.35">
      <c r="B10" s="157" t="s">
        <v>80</v>
      </c>
      <c r="C10" s="158"/>
      <c r="D10" s="9" t="s">
        <v>11</v>
      </c>
      <c r="E10" s="9" t="s">
        <v>6</v>
      </c>
      <c r="F10" s="9" t="s">
        <v>32</v>
      </c>
      <c r="H10" s="3"/>
      <c r="I10" s="3"/>
      <c r="J10" s="29"/>
      <c r="K10" s="2"/>
      <c r="L10" s="2"/>
      <c r="M10" s="27"/>
    </row>
    <row r="11" spans="2:13" ht="16" x14ac:dyDescent="0.35">
      <c r="B11" s="187" t="s">
        <v>88</v>
      </c>
      <c r="C11" s="188"/>
      <c r="D11" s="104" t="str">
        <f>_xlfn.XLOOKUP(B11,BackUpDATA!B3:B25,BackUpDATA!C3:C25)</f>
        <v>Mol. Wt.</v>
      </c>
      <c r="E11" s="5"/>
      <c r="F11" s="24" t="e">
        <f>(E6*D11*E11)/1000</f>
        <v>#VALUE!</v>
      </c>
      <c r="H11" s="3"/>
      <c r="I11" s="3"/>
      <c r="J11" s="29"/>
      <c r="K11" s="2"/>
      <c r="L11" s="2"/>
      <c r="M11" s="27"/>
    </row>
    <row r="12" spans="2:13" ht="16" x14ac:dyDescent="0.35">
      <c r="B12" s="185" t="s">
        <v>185</v>
      </c>
      <c r="C12" s="185"/>
      <c r="D12" s="5"/>
      <c r="E12" s="5"/>
      <c r="F12" s="24">
        <f>(E6*D12*E12)/1000</f>
        <v>0</v>
      </c>
      <c r="H12" s="3"/>
      <c r="I12" s="3"/>
      <c r="J12" s="29"/>
      <c r="K12" s="2"/>
      <c r="L12" s="2"/>
      <c r="M12" s="27"/>
    </row>
    <row r="13" spans="2:13" ht="16" x14ac:dyDescent="0.35">
      <c r="B13" s="98"/>
      <c r="C13" s="98"/>
      <c r="D13" s="2"/>
      <c r="E13" s="2"/>
      <c r="F13" s="99"/>
      <c r="H13" s="3"/>
      <c r="I13" s="3"/>
      <c r="J13" s="29"/>
      <c r="K13" s="2"/>
      <c r="L13" s="2"/>
      <c r="M13" s="27"/>
    </row>
    <row r="14" spans="2:13" ht="16" x14ac:dyDescent="0.35">
      <c r="B14" s="131" t="s">
        <v>73</v>
      </c>
      <c r="C14" s="132"/>
      <c r="D14" s="132"/>
      <c r="E14" s="133"/>
      <c r="F14" s="24">
        <f>_xlfn.AGGREGATE(9,6,F6,F11,F12)</f>
        <v>0</v>
      </c>
      <c r="H14" s="3"/>
      <c r="I14" s="3"/>
      <c r="J14" s="29"/>
      <c r="K14" s="2"/>
      <c r="L14" s="2"/>
      <c r="M14" s="27"/>
    </row>
    <row r="16" spans="2:13" ht="16" x14ac:dyDescent="0.4">
      <c r="B16" s="142" t="s">
        <v>188</v>
      </c>
      <c r="C16" s="143"/>
      <c r="D16" s="143"/>
      <c r="E16" s="143"/>
      <c r="F16" s="144"/>
    </row>
    <row r="17" spans="2:7" x14ac:dyDescent="0.35">
      <c r="B17" s="189" t="s">
        <v>5</v>
      </c>
      <c r="C17" s="190"/>
      <c r="D17" s="162" t="s">
        <v>6</v>
      </c>
      <c r="E17" s="164" t="s">
        <v>86</v>
      </c>
      <c r="F17" s="164" t="s">
        <v>32</v>
      </c>
    </row>
    <row r="18" spans="2:7" x14ac:dyDescent="0.35">
      <c r="B18" s="9" t="s">
        <v>15</v>
      </c>
      <c r="C18" s="9" t="s">
        <v>11</v>
      </c>
      <c r="D18" s="163"/>
      <c r="E18" s="165"/>
      <c r="F18" s="165"/>
    </row>
    <row r="19" spans="2:7" x14ac:dyDescent="0.35">
      <c r="B19" s="10" t="s">
        <v>52</v>
      </c>
      <c r="C19" s="49">
        <v>311.33999999999997</v>
      </c>
      <c r="D19" s="5"/>
      <c r="E19" s="5"/>
      <c r="F19" s="51">
        <f>(E6*C19*D19*E19)/1000</f>
        <v>0</v>
      </c>
      <c r="G19" s="23"/>
    </row>
    <row r="20" spans="2:7" x14ac:dyDescent="0.35">
      <c r="B20" s="10" t="s">
        <v>53</v>
      </c>
      <c r="C20" s="49">
        <v>648.77</v>
      </c>
      <c r="D20" s="5"/>
      <c r="E20" s="5"/>
      <c r="F20" s="51">
        <f>(E6*C20*D20*E20)/1000</f>
        <v>0</v>
      </c>
      <c r="G20" s="23"/>
    </row>
    <row r="21" spans="2:7" x14ac:dyDescent="0.35">
      <c r="B21" s="10" t="s">
        <v>54</v>
      </c>
      <c r="C21" s="49">
        <v>596.66999999999996</v>
      </c>
      <c r="D21" s="5"/>
      <c r="E21" s="5"/>
      <c r="F21" s="51">
        <f>(E6*C21*D21*E21)/1000</f>
        <v>0</v>
      </c>
      <c r="G21" s="23"/>
    </row>
    <row r="22" spans="2:7" x14ac:dyDescent="0.35">
      <c r="B22" s="10" t="s">
        <v>55</v>
      </c>
      <c r="C22" s="49">
        <v>411.45</v>
      </c>
      <c r="D22" s="5"/>
      <c r="E22" s="5"/>
      <c r="F22" s="51">
        <f>(E6*C22*D22*E22)/1000</f>
        <v>0</v>
      </c>
      <c r="G22" s="23"/>
    </row>
    <row r="23" spans="2:7" x14ac:dyDescent="0.35">
      <c r="B23" s="10" t="s">
        <v>56</v>
      </c>
      <c r="C23" s="49">
        <v>585.71</v>
      </c>
      <c r="D23" s="5"/>
      <c r="E23" s="5"/>
      <c r="F23" s="51">
        <f>(E6*C23*D23*E23)/1000</f>
        <v>0</v>
      </c>
      <c r="G23" s="23"/>
    </row>
    <row r="24" spans="2:7" x14ac:dyDescent="0.35">
      <c r="B24" s="10" t="s">
        <v>57</v>
      </c>
      <c r="C24" s="49">
        <v>610.70000000000005</v>
      </c>
      <c r="D24" s="5"/>
      <c r="E24" s="5"/>
      <c r="F24" s="51">
        <f>(E6*C24*D24*E24)/1000</f>
        <v>0</v>
      </c>
      <c r="G24" s="23"/>
    </row>
    <row r="25" spans="2:7" x14ac:dyDescent="0.35">
      <c r="B25" s="10" t="s">
        <v>58</v>
      </c>
      <c r="C25" s="49">
        <v>425.47</v>
      </c>
      <c r="D25" s="5"/>
      <c r="E25" s="5"/>
      <c r="F25" s="51">
        <f>(E6*C25*D25*E25)/1000</f>
        <v>0</v>
      </c>
      <c r="G25" s="23"/>
    </row>
    <row r="26" spans="2:7" x14ac:dyDescent="0.35">
      <c r="B26" s="10" t="s">
        <v>59</v>
      </c>
      <c r="C26" s="49">
        <v>297.31</v>
      </c>
      <c r="D26" s="5"/>
      <c r="E26" s="5"/>
      <c r="F26" s="51">
        <f>(E6*C26*D26*E26)/1000</f>
        <v>0</v>
      </c>
      <c r="G26" s="23"/>
    </row>
    <row r="27" spans="2:7" x14ac:dyDescent="0.35">
      <c r="B27" s="10" t="s">
        <v>60</v>
      </c>
      <c r="C27" s="49">
        <v>619.71</v>
      </c>
      <c r="D27" s="5"/>
      <c r="E27" s="5"/>
      <c r="F27" s="51">
        <f>(E6*C27*D27*E27)/1000</f>
        <v>0</v>
      </c>
      <c r="G27" s="23"/>
    </row>
    <row r="28" spans="2:7" x14ac:dyDescent="0.35">
      <c r="B28" s="10" t="s">
        <v>61</v>
      </c>
      <c r="C28" s="49">
        <v>353.41</v>
      </c>
      <c r="D28" s="5"/>
      <c r="E28" s="5"/>
      <c r="F28" s="51">
        <f>(E6*C28*D28*E28)/1000</f>
        <v>0</v>
      </c>
      <c r="G28" s="23"/>
    </row>
    <row r="29" spans="2:7" x14ac:dyDescent="0.35">
      <c r="B29" s="10" t="s">
        <v>62</v>
      </c>
      <c r="C29" s="49">
        <v>353.41</v>
      </c>
      <c r="D29" s="5"/>
      <c r="E29" s="5"/>
      <c r="F29" s="51">
        <f>(E6*C29*D29*E29)/1000</f>
        <v>0</v>
      </c>
      <c r="G29" s="23"/>
    </row>
    <row r="30" spans="2:7" x14ac:dyDescent="0.35">
      <c r="B30" s="10" t="s">
        <v>63</v>
      </c>
      <c r="C30" s="49">
        <v>468.54</v>
      </c>
      <c r="D30" s="5"/>
      <c r="E30" s="5"/>
      <c r="F30" s="51">
        <f>(E6*C30*D30*E30)/1000</f>
        <v>0</v>
      </c>
      <c r="G30" s="23"/>
    </row>
    <row r="31" spans="2:7" x14ac:dyDescent="0.35">
      <c r="B31" s="10" t="s">
        <v>64</v>
      </c>
      <c r="C31" s="49">
        <v>371.45</v>
      </c>
      <c r="D31" s="5"/>
      <c r="E31" s="5"/>
      <c r="F31" s="51">
        <f>(E6*C31*D31*E31)/1000</f>
        <v>0</v>
      </c>
      <c r="G31" s="23"/>
    </row>
    <row r="32" spans="2:7" x14ac:dyDescent="0.35">
      <c r="B32" s="10" t="s">
        <v>65</v>
      </c>
      <c r="C32" s="49">
        <v>387.43</v>
      </c>
      <c r="D32" s="5"/>
      <c r="E32" s="5"/>
      <c r="F32" s="51">
        <f>(E6*C32*D32*E32)/1000</f>
        <v>0</v>
      </c>
      <c r="G32" s="23"/>
    </row>
    <row r="33" spans="2:8" x14ac:dyDescent="0.35">
      <c r="B33" s="10" t="s">
        <v>66</v>
      </c>
      <c r="C33" s="49">
        <v>337.37</v>
      </c>
      <c r="D33" s="5"/>
      <c r="E33" s="5"/>
      <c r="F33" s="51">
        <f>(E6*C33*D33*E33)/1000</f>
        <v>0</v>
      </c>
      <c r="G33" s="23"/>
    </row>
    <row r="34" spans="2:8" x14ac:dyDescent="0.35">
      <c r="B34" s="10" t="s">
        <v>67</v>
      </c>
      <c r="C34" s="49">
        <v>383.44</v>
      </c>
      <c r="D34" s="5"/>
      <c r="E34" s="5"/>
      <c r="F34" s="51">
        <f>(E6*C34*D34*E34)/1000</f>
        <v>0</v>
      </c>
      <c r="G34" s="23"/>
    </row>
    <row r="35" spans="2:8" x14ac:dyDescent="0.35">
      <c r="B35" s="10" t="s">
        <v>68</v>
      </c>
      <c r="C35" s="49">
        <v>397.46</v>
      </c>
      <c r="D35" s="5"/>
      <c r="E35" s="5"/>
      <c r="F35" s="51">
        <f>(E6*C35*D35*E35)/1000</f>
        <v>0</v>
      </c>
      <c r="G35" s="23"/>
    </row>
    <row r="36" spans="2:8" x14ac:dyDescent="0.35">
      <c r="B36" s="10" t="s">
        <v>69</v>
      </c>
      <c r="C36" s="49">
        <v>526.58000000000004</v>
      </c>
      <c r="D36" s="5"/>
      <c r="E36" s="5"/>
      <c r="F36" s="51">
        <f>(E6*C36*D36*E36)/1000</f>
        <v>0</v>
      </c>
      <c r="G36" s="23"/>
    </row>
    <row r="37" spans="2:8" x14ac:dyDescent="0.35">
      <c r="B37" s="10" t="s">
        <v>70</v>
      </c>
      <c r="C37" s="49">
        <v>459.53</v>
      </c>
      <c r="D37" s="5"/>
      <c r="E37" s="5"/>
      <c r="F37" s="51">
        <f>(E6*C37*D37*E37)/1000</f>
        <v>0</v>
      </c>
      <c r="G37" s="23"/>
    </row>
    <row r="38" spans="2:8" x14ac:dyDescent="0.35">
      <c r="B38" s="10" t="s">
        <v>71</v>
      </c>
      <c r="C38" s="49">
        <v>339.39</v>
      </c>
      <c r="D38" s="5"/>
      <c r="E38" s="5"/>
      <c r="F38" s="51">
        <f>(E6*C38*D38*E38)/1000</f>
        <v>0</v>
      </c>
      <c r="G38" s="23"/>
    </row>
    <row r="39" spans="2:8" x14ac:dyDescent="0.35">
      <c r="B39" s="10" t="s">
        <v>20</v>
      </c>
      <c r="C39" s="50"/>
      <c r="D39" s="5"/>
      <c r="E39" s="5"/>
      <c r="F39" s="51">
        <f>(E6*C39*D39*E39)/1000</f>
        <v>0</v>
      </c>
    </row>
    <row r="40" spans="2:8" x14ac:dyDescent="0.35">
      <c r="B40" s="10" t="s">
        <v>20</v>
      </c>
      <c r="C40" s="50"/>
      <c r="D40" s="5"/>
      <c r="E40" s="5"/>
      <c r="F40" s="51">
        <f>(E6*C40*D40*E40)/1000</f>
        <v>0</v>
      </c>
    </row>
    <row r="41" spans="2:8" x14ac:dyDescent="0.35">
      <c r="B41" s="10" t="s">
        <v>20</v>
      </c>
      <c r="C41" s="50"/>
      <c r="D41" s="5"/>
      <c r="E41" s="5"/>
      <c r="F41" s="51">
        <f>(E6*C41*D41*E41)/1000</f>
        <v>0</v>
      </c>
    </row>
    <row r="42" spans="2:8" x14ac:dyDescent="0.35">
      <c r="B42" s="10" t="s">
        <v>20</v>
      </c>
      <c r="C42" s="50"/>
      <c r="D42" s="5"/>
      <c r="E42" s="5"/>
      <c r="F42" s="51">
        <f>(E6*C42*D42*E42)/1000</f>
        <v>0</v>
      </c>
    </row>
    <row r="43" spans="2:8" x14ac:dyDescent="0.35">
      <c r="B43" s="10" t="s">
        <v>20</v>
      </c>
      <c r="C43" s="50"/>
      <c r="D43" s="5"/>
      <c r="E43" s="5"/>
      <c r="F43" s="51">
        <f>(E6*C43*D43*E43)/1000</f>
        <v>0</v>
      </c>
    </row>
    <row r="44" spans="2:8" ht="16" x14ac:dyDescent="0.35">
      <c r="B44" s="134" t="s">
        <v>51</v>
      </c>
      <c r="C44" s="135"/>
      <c r="D44" s="136"/>
      <c r="E44" s="11">
        <f>SUM(E19:E43)</f>
        <v>0</v>
      </c>
      <c r="F44" s="24">
        <f>SUM(F19:F43)</f>
        <v>0</v>
      </c>
    </row>
    <row r="46" spans="2:8" ht="18.5" x14ac:dyDescent="0.35">
      <c r="B46" s="151" t="s">
        <v>195</v>
      </c>
      <c r="C46" s="151"/>
      <c r="D46" s="151"/>
      <c r="E46" s="151"/>
      <c r="F46" s="151"/>
      <c r="G46" s="151"/>
    </row>
    <row r="48" spans="2:8" ht="18.5" x14ac:dyDescent="0.35">
      <c r="B48" s="183" t="s">
        <v>189</v>
      </c>
      <c r="C48" s="183"/>
      <c r="D48" s="183"/>
      <c r="E48" s="183"/>
      <c r="F48" s="183"/>
      <c r="G48" s="183"/>
      <c r="H48" s="36"/>
    </row>
    <row r="49" spans="2:7" x14ac:dyDescent="0.35">
      <c r="B49" s="189" t="s">
        <v>2</v>
      </c>
      <c r="C49" s="190"/>
      <c r="D49" s="9" t="s">
        <v>179</v>
      </c>
      <c r="E49" s="9" t="s">
        <v>6</v>
      </c>
      <c r="F49" s="9" t="s">
        <v>86</v>
      </c>
      <c r="G49" s="9" t="s">
        <v>32</v>
      </c>
    </row>
    <row r="50" spans="2:7" x14ac:dyDescent="0.35">
      <c r="B50" s="152" t="s">
        <v>2</v>
      </c>
      <c r="C50" s="153"/>
      <c r="D50" s="104" t="str">
        <f>_xlfn.XLOOKUP(B50,BackUpDATA!D3:D25,BackUpDATA!E3:E25)</f>
        <v>Mol. Wt.</v>
      </c>
      <c r="E50" s="5"/>
      <c r="F50" s="35"/>
      <c r="G50" s="22" t="e">
        <f>(E6*D50*E50*#REF!)/1000</f>
        <v>#VALUE!</v>
      </c>
    </row>
    <row r="51" spans="2:7" x14ac:dyDescent="0.35">
      <c r="B51" s="100" t="s">
        <v>2</v>
      </c>
      <c r="C51" s="101" t="s">
        <v>181</v>
      </c>
      <c r="D51" s="104" t="str">
        <f>_xlfn.XLOOKUP(B51,BackUpDATA!D3:D25,BackUpDATA!E3:E25)</f>
        <v>Mol. Wt.</v>
      </c>
      <c r="E51" s="5"/>
      <c r="G51" s="31" t="e">
        <f>(E6*E51*F50)/D51</f>
        <v>#VALUE!</v>
      </c>
    </row>
    <row r="52" spans="2:7" x14ac:dyDescent="0.35">
      <c r="B52" s="152" t="s">
        <v>140</v>
      </c>
      <c r="C52" s="153"/>
      <c r="D52" s="5"/>
      <c r="E52" s="5"/>
      <c r="F52" s="35"/>
      <c r="G52" s="31">
        <f>(E6*D52*E52*F52)/1000</f>
        <v>0</v>
      </c>
    </row>
    <row r="53" spans="2:7" x14ac:dyDescent="0.35">
      <c r="B53" s="152" t="s">
        <v>141</v>
      </c>
      <c r="C53" s="153"/>
      <c r="D53" s="5"/>
      <c r="E53" s="5"/>
      <c r="F53" s="35"/>
      <c r="G53" s="31">
        <f>(E6*D53*E53*F53)/1000</f>
        <v>0</v>
      </c>
    </row>
    <row r="54" spans="2:7" x14ac:dyDescent="0.35">
      <c r="B54" s="152" t="s">
        <v>21</v>
      </c>
      <c r="C54" s="153"/>
      <c r="D54" s="5"/>
      <c r="E54" s="5"/>
      <c r="F54" s="35"/>
      <c r="G54" s="31">
        <f>(E6*D54*E54*F54)/1000</f>
        <v>0</v>
      </c>
    </row>
    <row r="55" spans="2:7" x14ac:dyDescent="0.35">
      <c r="B55" s="152" t="s">
        <v>29</v>
      </c>
      <c r="C55" s="153"/>
      <c r="D55" s="107" t="str">
        <f>_xlfn.XLOOKUP(B55,BackUpDATA!H3:H25,BackUpDATA!I3:I25)</f>
        <v>Mol. Wt.</v>
      </c>
      <c r="E55" s="5"/>
      <c r="F55" s="35"/>
      <c r="G55" s="31" t="e">
        <f>(E6*D55*E55*F55)/1000</f>
        <v>#VALUE!</v>
      </c>
    </row>
    <row r="56" spans="2:7" ht="16" x14ac:dyDescent="0.35">
      <c r="B56" s="134" t="s">
        <v>73</v>
      </c>
      <c r="C56" s="135"/>
      <c r="D56" s="135"/>
      <c r="E56" s="135"/>
      <c r="F56" s="136"/>
      <c r="G56" s="24">
        <f>_xlfn.AGGREGATE(9,6,G51,G52,G53,G54,G55)</f>
        <v>0</v>
      </c>
    </row>
    <row r="57" spans="2:7" ht="16" x14ac:dyDescent="0.35">
      <c r="B57" s="183" t="s">
        <v>190</v>
      </c>
      <c r="C57" s="183"/>
      <c r="D57" s="183"/>
      <c r="E57" s="183"/>
      <c r="F57" s="183"/>
      <c r="G57" s="183"/>
    </row>
    <row r="58" spans="2:7" x14ac:dyDescent="0.35">
      <c r="B58" s="189" t="s">
        <v>2</v>
      </c>
      <c r="C58" s="190"/>
      <c r="D58" s="9" t="s">
        <v>179</v>
      </c>
      <c r="E58" s="9" t="s">
        <v>6</v>
      </c>
      <c r="F58" s="9" t="s">
        <v>86</v>
      </c>
      <c r="G58" s="9" t="s">
        <v>32</v>
      </c>
    </row>
    <row r="59" spans="2:7" x14ac:dyDescent="0.35">
      <c r="B59" s="152" t="s">
        <v>2</v>
      </c>
      <c r="C59" s="153"/>
      <c r="D59" s="104" t="str">
        <f>_xlfn.XLOOKUP(B59,BackUpDATA!D3:D25,BackUpDATA!E3:E25)</f>
        <v>Mol. Wt.</v>
      </c>
      <c r="E59" s="5"/>
      <c r="F59" s="5"/>
      <c r="G59" s="22" t="e">
        <f>(E6*D59*E59*F59)/1000</f>
        <v>#VALUE!</v>
      </c>
    </row>
    <row r="60" spans="2:7" x14ac:dyDescent="0.35">
      <c r="B60" s="111" t="s">
        <v>2</v>
      </c>
      <c r="C60" s="112" t="s">
        <v>181</v>
      </c>
      <c r="D60" s="104" t="str">
        <f>_xlfn.XLOOKUP(B60,BackUpDATA!D3:D25,BackUpDATA!E3:E25)</f>
        <v>Mol. Wt.</v>
      </c>
      <c r="E60" s="5"/>
      <c r="F60" s="5"/>
      <c r="G60" s="22" t="e">
        <f>(E6*E60*F60)/D60</f>
        <v>#VALUE!</v>
      </c>
    </row>
    <row r="61" spans="2:7" x14ac:dyDescent="0.35">
      <c r="B61" s="152" t="s">
        <v>140</v>
      </c>
      <c r="C61" s="153"/>
      <c r="D61" s="5"/>
      <c r="E61" s="5"/>
      <c r="F61" s="35"/>
      <c r="G61" s="31">
        <f>(E6*D61*E61*F61)/1000</f>
        <v>0</v>
      </c>
    </row>
    <row r="62" spans="2:7" x14ac:dyDescent="0.35">
      <c r="B62" s="152" t="s">
        <v>141</v>
      </c>
      <c r="C62" s="153"/>
      <c r="D62" s="5"/>
      <c r="E62" s="5"/>
      <c r="F62" s="35"/>
      <c r="G62" s="31">
        <f>(E6*D62*E62*F62)/1000</f>
        <v>0</v>
      </c>
    </row>
    <row r="63" spans="2:7" x14ac:dyDescent="0.35">
      <c r="B63" s="152" t="s">
        <v>21</v>
      </c>
      <c r="C63" s="153"/>
      <c r="D63" s="104" t="str">
        <f>_xlfn.XLOOKUP(B63,BackUpDATA!F3:F25,BackUpDATA!G3:G25)</f>
        <v>Mol. Wt.</v>
      </c>
      <c r="E63" s="5"/>
      <c r="F63" s="35"/>
      <c r="G63" s="31" t="e">
        <f>(E6*D63*E63*F63)/1000</f>
        <v>#VALUE!</v>
      </c>
    </row>
    <row r="64" spans="2:7" x14ac:dyDescent="0.35">
      <c r="B64" s="152" t="s">
        <v>29</v>
      </c>
      <c r="C64" s="153"/>
      <c r="D64" s="107" t="str">
        <f>_xlfn.XLOOKUP(B64,BackUpDATA!H3:H25,BackUpDATA!I3:I25)</f>
        <v>Mol. Wt.</v>
      </c>
      <c r="E64" s="5"/>
      <c r="F64" s="35"/>
      <c r="G64" s="31" t="e">
        <f>(E6*D64*E64*F64)/1000</f>
        <v>#VALUE!</v>
      </c>
    </row>
    <row r="65" spans="2:8" ht="16" x14ac:dyDescent="0.35">
      <c r="B65" s="134" t="s">
        <v>73</v>
      </c>
      <c r="C65" s="135"/>
      <c r="D65" s="135"/>
      <c r="E65" s="135"/>
      <c r="F65" s="136"/>
      <c r="G65" s="24">
        <f>_xlfn.AGGREGATE(9,6,G59,G60,G61,G62,G63,G64)</f>
        <v>0</v>
      </c>
    </row>
    <row r="67" spans="2:8" ht="18.5" x14ac:dyDescent="0.35">
      <c r="B67" s="183" t="s">
        <v>191</v>
      </c>
      <c r="C67" s="183"/>
      <c r="D67" s="183"/>
      <c r="E67" s="183"/>
      <c r="F67" s="183"/>
      <c r="G67" s="183"/>
      <c r="H67" s="36"/>
    </row>
    <row r="68" spans="2:8" x14ac:dyDescent="0.35">
      <c r="B68" s="8" t="s">
        <v>115</v>
      </c>
      <c r="C68" s="9" t="s">
        <v>11</v>
      </c>
      <c r="D68" s="9" t="s">
        <v>4</v>
      </c>
      <c r="E68" s="9" t="s">
        <v>91</v>
      </c>
      <c r="F68" s="9" t="s">
        <v>86</v>
      </c>
      <c r="G68" s="9" t="s">
        <v>32</v>
      </c>
    </row>
    <row r="69" spans="2:8" x14ac:dyDescent="0.35">
      <c r="B69" s="10" t="s">
        <v>148</v>
      </c>
      <c r="C69" s="59"/>
      <c r="D69" s="104" t="str">
        <f>_xlfn.XLOOKUP(B69,BackUpDATA!J3:J25,BackUpDATA!K3:K25)</f>
        <v>Density</v>
      </c>
      <c r="E69" s="5"/>
      <c r="F69" s="5"/>
      <c r="G69" s="22" t="e">
        <f>D69*E69*F69</f>
        <v>#VALUE!</v>
      </c>
    </row>
    <row r="70" spans="2:8" ht="16" x14ac:dyDescent="0.35">
      <c r="B70" s="10" t="s">
        <v>170</v>
      </c>
      <c r="C70" s="104" t="str">
        <f>_xlfn.XLOOKUP(B70,BackUpDATA!L3:L25,BackUpDATA!N3:N25)</f>
        <v>Mol. Wt.</v>
      </c>
      <c r="D70" s="104" t="str">
        <f>_xlfn.XLOOKUP(B70,BackUpDATA!L3:L25,BackUpDATA!M3:M25)</f>
        <v>Density</v>
      </c>
      <c r="E70" s="5"/>
      <c r="F70" s="5"/>
      <c r="G70" s="39" t="e">
        <f>(E6*C70*E70*F70)/1000</f>
        <v>#VALUE!</v>
      </c>
    </row>
    <row r="71" spans="2:8" ht="16" x14ac:dyDescent="0.35">
      <c r="B71" s="10" t="s">
        <v>171</v>
      </c>
      <c r="C71" s="59"/>
      <c r="D71" s="59"/>
      <c r="E71" s="5"/>
      <c r="F71" s="5"/>
      <c r="G71" s="39">
        <f>D71*E71*F71</f>
        <v>0</v>
      </c>
    </row>
    <row r="72" spans="2:8" ht="16" x14ac:dyDescent="0.35">
      <c r="B72" s="10" t="s">
        <v>171</v>
      </c>
      <c r="C72" s="59"/>
      <c r="D72" s="59"/>
      <c r="E72" s="5"/>
      <c r="F72" s="5"/>
      <c r="G72" s="39">
        <f>D72*E72*F72</f>
        <v>0</v>
      </c>
    </row>
    <row r="73" spans="2:8" ht="16" x14ac:dyDescent="0.35">
      <c r="B73" s="134" t="s">
        <v>73</v>
      </c>
      <c r="C73" s="135"/>
      <c r="D73" s="135"/>
      <c r="E73" s="135"/>
      <c r="F73" s="136"/>
      <c r="G73" s="24">
        <f>_xlfn.AGGREGATE(9,6,G69,G70,G71,G72)</f>
        <v>0</v>
      </c>
    </row>
    <row r="75" spans="2:8" ht="16" x14ac:dyDescent="0.35">
      <c r="B75" s="128" t="s">
        <v>92</v>
      </c>
      <c r="C75" s="129"/>
      <c r="D75" s="129"/>
      <c r="E75" s="129"/>
      <c r="F75" s="130"/>
      <c r="G75" s="24">
        <f>_xlfn.AGGREGATE(9,6,G56,G65,G73)</f>
        <v>0</v>
      </c>
    </row>
    <row r="76" spans="2:8" ht="16" x14ac:dyDescent="0.35">
      <c r="B76" s="37"/>
      <c r="C76" s="37"/>
      <c r="D76" s="37"/>
      <c r="E76" s="37"/>
      <c r="F76" s="37"/>
      <c r="G76" s="38"/>
    </row>
    <row r="77" spans="2:8" ht="18.5" x14ac:dyDescent="0.45">
      <c r="B77" s="150" t="s">
        <v>196</v>
      </c>
      <c r="C77" s="150"/>
      <c r="D77" s="150"/>
      <c r="E77" s="150"/>
      <c r="F77" s="150"/>
      <c r="G77" s="150"/>
    </row>
    <row r="78" spans="2:8" ht="16" x14ac:dyDescent="0.4">
      <c r="B78" s="15"/>
      <c r="C78" s="15"/>
      <c r="D78" s="15"/>
      <c r="E78" s="15"/>
      <c r="F78" s="15"/>
      <c r="G78" s="15"/>
    </row>
    <row r="79" spans="2:8" ht="16" x14ac:dyDescent="0.4">
      <c r="B79" s="142" t="s">
        <v>202</v>
      </c>
      <c r="C79" s="143"/>
      <c r="D79" s="143"/>
      <c r="E79" s="143"/>
      <c r="F79" s="143"/>
      <c r="G79" s="144"/>
    </row>
    <row r="80" spans="2:8" x14ac:dyDescent="0.35">
      <c r="B80" s="9" t="s">
        <v>31</v>
      </c>
      <c r="C80" s="9" t="s">
        <v>3</v>
      </c>
      <c r="D80" s="9" t="s">
        <v>4</v>
      </c>
      <c r="E80" s="9" t="s">
        <v>45</v>
      </c>
      <c r="F80" s="9" t="s">
        <v>86</v>
      </c>
      <c r="G80" s="9" t="s">
        <v>32</v>
      </c>
    </row>
    <row r="81" spans="2:7" x14ac:dyDescent="0.35">
      <c r="B81" s="140" t="s">
        <v>178</v>
      </c>
      <c r="C81" s="12" t="s">
        <v>149</v>
      </c>
      <c r="D81" s="105" t="str">
        <f>_xlfn.XLOOKUP(C81,BackUpDATA!O3:O25,BackUpDATA!P3:P25)</f>
        <v>Density</v>
      </c>
      <c r="E81" s="18"/>
      <c r="F81" s="18"/>
      <c r="G81" s="90" t="e">
        <f>D81*E81*F81</f>
        <v>#VALUE!</v>
      </c>
    </row>
    <row r="82" spans="2:7" x14ac:dyDescent="0.35">
      <c r="B82" s="145"/>
      <c r="C82" s="12" t="s">
        <v>151</v>
      </c>
      <c r="D82" s="18"/>
      <c r="E82" s="18"/>
      <c r="F82" s="18"/>
      <c r="G82" s="90">
        <f t="shared" ref="G82:G86" si="0">D82*E82*F82</f>
        <v>0</v>
      </c>
    </row>
    <row r="83" spans="2:7" x14ac:dyDescent="0.35">
      <c r="B83" s="141"/>
      <c r="C83" s="12" t="s">
        <v>151</v>
      </c>
      <c r="D83" s="18"/>
      <c r="E83" s="18"/>
      <c r="F83" s="18"/>
      <c r="G83" s="90">
        <f t="shared" si="0"/>
        <v>0</v>
      </c>
    </row>
    <row r="84" spans="2:7" x14ac:dyDescent="0.35">
      <c r="B84" s="140" t="s">
        <v>95</v>
      </c>
      <c r="C84" s="6" t="s">
        <v>149</v>
      </c>
      <c r="D84" s="104" t="str">
        <f>_xlfn.XLOOKUP(C84,BackUpDATA!O3:O25,BackUpDATA!P3:P25)</f>
        <v>Density</v>
      </c>
      <c r="E84" s="5"/>
      <c r="F84" s="5"/>
      <c r="G84" s="90" t="e">
        <f t="shared" si="0"/>
        <v>#VALUE!</v>
      </c>
    </row>
    <row r="85" spans="2:7" x14ac:dyDescent="0.35">
      <c r="B85" s="145"/>
      <c r="C85" s="6" t="s">
        <v>151</v>
      </c>
      <c r="D85" s="5"/>
      <c r="E85" s="5"/>
      <c r="F85" s="5"/>
      <c r="G85" s="90">
        <f t="shared" si="0"/>
        <v>0</v>
      </c>
    </row>
    <row r="86" spans="2:7" x14ac:dyDescent="0.35">
      <c r="B86" s="141"/>
      <c r="C86" s="6" t="s">
        <v>151</v>
      </c>
      <c r="D86" s="5"/>
      <c r="E86" s="5"/>
      <c r="F86" s="5"/>
      <c r="G86" s="90">
        <f t="shared" si="0"/>
        <v>0</v>
      </c>
    </row>
    <row r="87" spans="2:7" ht="16" x14ac:dyDescent="0.35">
      <c r="B87" s="134" t="s">
        <v>51</v>
      </c>
      <c r="C87" s="135"/>
      <c r="D87" s="135"/>
      <c r="E87" s="135"/>
      <c r="F87" s="136"/>
      <c r="G87" s="24">
        <f>_xlfn.AGGREGATE(9,6,G81,G82,G83,G84,G85,G86)</f>
        <v>0</v>
      </c>
    </row>
    <row r="89" spans="2:7" ht="16" x14ac:dyDescent="0.4">
      <c r="B89" s="142" t="s">
        <v>212</v>
      </c>
      <c r="C89" s="143"/>
      <c r="D89" s="143"/>
      <c r="E89" s="143"/>
      <c r="F89" s="143"/>
      <c r="G89" s="144"/>
    </row>
    <row r="90" spans="2:7" x14ac:dyDescent="0.35">
      <c r="B90" s="9" t="s">
        <v>31</v>
      </c>
      <c r="C90" s="9" t="s">
        <v>3</v>
      </c>
      <c r="D90" s="9" t="s">
        <v>4</v>
      </c>
      <c r="E90" s="32" t="s">
        <v>45</v>
      </c>
      <c r="F90" s="9" t="s">
        <v>86</v>
      </c>
      <c r="G90" s="9" t="s">
        <v>32</v>
      </c>
    </row>
    <row r="91" spans="2:7" ht="14.5" customHeight="1" x14ac:dyDescent="0.35">
      <c r="B91" s="191" t="s">
        <v>182</v>
      </c>
      <c r="C91" s="14" t="s">
        <v>3</v>
      </c>
      <c r="D91" s="104" t="str">
        <f>_xlfn.XLOOKUP(C91,BackUpDATA!Q3:Q25,BackUpDATA!R3:R25)</f>
        <v>Density</v>
      </c>
      <c r="E91" s="5"/>
      <c r="F91" s="5"/>
      <c r="G91" s="56" t="e">
        <f>D91*E91*F91</f>
        <v>#VALUE!</v>
      </c>
    </row>
    <row r="92" spans="2:7" x14ac:dyDescent="0.35">
      <c r="B92" s="192"/>
      <c r="C92" s="14" t="s">
        <v>3</v>
      </c>
      <c r="D92" s="104" t="str">
        <f>_xlfn.XLOOKUP(C92,BackUpDATA!Q3:Q25,BackUpDATA!R3:R25)</f>
        <v>Density</v>
      </c>
      <c r="E92" s="5"/>
      <c r="F92" s="5"/>
      <c r="G92" s="56" t="e">
        <f t="shared" ref="G92" si="1">D92*E92*F92</f>
        <v>#VALUE!</v>
      </c>
    </row>
    <row r="93" spans="2:7" x14ac:dyDescent="0.35">
      <c r="B93" s="192"/>
      <c r="C93" s="14" t="s">
        <v>3</v>
      </c>
      <c r="D93" s="104" t="str">
        <f>_xlfn.XLOOKUP(C93,BackUpDATA!Q3:Q25,BackUpDATA!R3:R25)</f>
        <v>Density</v>
      </c>
      <c r="E93" s="5"/>
      <c r="F93" s="5"/>
      <c r="G93" s="56" t="e">
        <f>D93*E93*F93</f>
        <v>#VALUE!</v>
      </c>
    </row>
    <row r="94" spans="2:7" x14ac:dyDescent="0.35">
      <c r="B94" s="192"/>
      <c r="C94" s="14" t="s">
        <v>197</v>
      </c>
      <c r="D94" s="5"/>
      <c r="E94" s="5"/>
      <c r="F94" s="5"/>
      <c r="G94" s="56">
        <f t="shared" ref="G94:G95" si="2">D94*E94*F94</f>
        <v>0</v>
      </c>
    </row>
    <row r="95" spans="2:7" x14ac:dyDescent="0.35">
      <c r="B95" s="193"/>
      <c r="C95" s="14" t="s">
        <v>197</v>
      </c>
      <c r="D95" s="5"/>
      <c r="E95" s="5"/>
      <c r="F95" s="5"/>
      <c r="G95" s="56">
        <f t="shared" si="2"/>
        <v>0</v>
      </c>
    </row>
    <row r="96" spans="2:7" x14ac:dyDescent="0.35">
      <c r="B96" s="191" t="s">
        <v>157</v>
      </c>
      <c r="C96" s="14" t="s">
        <v>3</v>
      </c>
      <c r="D96" s="104" t="str">
        <f>_xlfn.XLOOKUP(C96,BackUpDATA!Q3:Q25,BackUpDATA!R3:R25)</f>
        <v>Density</v>
      </c>
      <c r="E96" s="5"/>
      <c r="F96" s="5"/>
      <c r="G96" s="56" t="e">
        <f t="shared" ref="G96:G105" si="3">D96*E96*F96</f>
        <v>#VALUE!</v>
      </c>
    </row>
    <row r="97" spans="2:7" x14ac:dyDescent="0.35">
      <c r="B97" s="192"/>
      <c r="C97" s="14" t="s">
        <v>3</v>
      </c>
      <c r="D97" s="104" t="str">
        <f>_xlfn.XLOOKUP(C97,BackUpDATA!Q3:Q25,BackUpDATA!R3:R25)</f>
        <v>Density</v>
      </c>
      <c r="E97" s="5"/>
      <c r="F97" s="5"/>
      <c r="G97" s="56" t="e">
        <f t="shared" si="3"/>
        <v>#VALUE!</v>
      </c>
    </row>
    <row r="98" spans="2:7" x14ac:dyDescent="0.35">
      <c r="B98" s="192"/>
      <c r="C98" s="14" t="s">
        <v>3</v>
      </c>
      <c r="D98" s="104" t="str">
        <f>_xlfn.XLOOKUP(C98,BackUpDATA!Q3:Q25,BackUpDATA!R3:R25)</f>
        <v>Density</v>
      </c>
      <c r="E98" s="5"/>
      <c r="F98" s="5"/>
      <c r="G98" s="56" t="e">
        <f t="shared" si="3"/>
        <v>#VALUE!</v>
      </c>
    </row>
    <row r="99" spans="2:7" x14ac:dyDescent="0.35">
      <c r="B99" s="192"/>
      <c r="C99" s="14" t="s">
        <v>197</v>
      </c>
      <c r="D99" s="5"/>
      <c r="E99" s="5"/>
      <c r="F99" s="5"/>
      <c r="G99" s="56">
        <f t="shared" si="3"/>
        <v>0</v>
      </c>
    </row>
    <row r="100" spans="2:7" x14ac:dyDescent="0.35">
      <c r="B100" s="193"/>
      <c r="C100" s="14" t="s">
        <v>197</v>
      </c>
      <c r="D100" s="5"/>
      <c r="E100" s="5"/>
      <c r="F100" s="5"/>
      <c r="G100" s="56">
        <f t="shared" si="3"/>
        <v>0</v>
      </c>
    </row>
    <row r="101" spans="2:7" ht="14.5" customHeight="1" x14ac:dyDescent="0.35">
      <c r="B101" s="194" t="s">
        <v>183</v>
      </c>
      <c r="C101" s="14" t="s">
        <v>3</v>
      </c>
      <c r="D101" s="104" t="str">
        <f>_xlfn.XLOOKUP(C101,BackUpDATA!Q3:Q25,BackUpDATA!R3:R25)</f>
        <v>Density</v>
      </c>
      <c r="E101" s="5"/>
      <c r="F101" s="5"/>
      <c r="G101" s="56" t="e">
        <f t="shared" si="3"/>
        <v>#VALUE!</v>
      </c>
    </row>
    <row r="102" spans="2:7" x14ac:dyDescent="0.35">
      <c r="B102" s="194"/>
      <c r="C102" s="14" t="s">
        <v>3</v>
      </c>
      <c r="D102" s="104" t="str">
        <f>_xlfn.XLOOKUP(C102,BackUpDATA!Q3:Q25,BackUpDATA!R3:R25)</f>
        <v>Density</v>
      </c>
      <c r="E102" s="5"/>
      <c r="F102" s="5"/>
      <c r="G102" s="56" t="e">
        <f t="shared" si="3"/>
        <v>#VALUE!</v>
      </c>
    </row>
    <row r="103" spans="2:7" x14ac:dyDescent="0.35">
      <c r="B103" s="194"/>
      <c r="C103" s="14" t="s">
        <v>3</v>
      </c>
      <c r="D103" s="104" t="str">
        <f>_xlfn.XLOOKUP(C103,BackUpDATA!Q3:Q25,BackUpDATA!R3:R25)</f>
        <v>Density</v>
      </c>
      <c r="E103" s="5"/>
      <c r="F103" s="5"/>
      <c r="G103" s="56" t="e">
        <f t="shared" si="3"/>
        <v>#VALUE!</v>
      </c>
    </row>
    <row r="104" spans="2:7" x14ac:dyDescent="0.35">
      <c r="B104" s="194"/>
      <c r="C104" s="14" t="s">
        <v>197</v>
      </c>
      <c r="D104" s="5"/>
      <c r="E104" s="5"/>
      <c r="F104" s="5"/>
      <c r="G104" s="56">
        <f t="shared" si="3"/>
        <v>0</v>
      </c>
    </row>
    <row r="105" spans="2:7" x14ac:dyDescent="0.35">
      <c r="B105" s="194"/>
      <c r="C105" s="14" t="s">
        <v>197</v>
      </c>
      <c r="D105" s="5"/>
      <c r="E105" s="5"/>
      <c r="F105" s="5"/>
      <c r="G105" s="56">
        <f t="shared" si="3"/>
        <v>0</v>
      </c>
    </row>
    <row r="106" spans="2:7" ht="16" x14ac:dyDescent="0.35">
      <c r="B106" s="134" t="s">
        <v>51</v>
      </c>
      <c r="C106" s="135"/>
      <c r="D106" s="135"/>
      <c r="E106" s="135"/>
      <c r="F106" s="136"/>
      <c r="G106" s="24">
        <f>_xlfn.AGGREGATE(9,6,G91,G92,G93,G94,G95,G96,G97,G98,G99,G100,G101,G102,G103,G104,G105)</f>
        <v>0</v>
      </c>
    </row>
    <row r="107" spans="2:7" x14ac:dyDescent="0.35">
      <c r="B107" s="19"/>
      <c r="C107" s="19"/>
      <c r="E107" s="2"/>
      <c r="F107" s="2"/>
      <c r="G107" s="2"/>
    </row>
    <row r="108" spans="2:7" ht="16" x14ac:dyDescent="0.35">
      <c r="B108" s="137" t="s">
        <v>203</v>
      </c>
      <c r="C108" s="138"/>
      <c r="D108" s="138"/>
      <c r="E108" s="138"/>
      <c r="F108" s="138"/>
      <c r="G108" s="139"/>
    </row>
    <row r="109" spans="2:7" x14ac:dyDescent="0.35">
      <c r="B109" s="9" t="s">
        <v>31</v>
      </c>
      <c r="C109" s="9" t="s">
        <v>3</v>
      </c>
      <c r="D109" s="9" t="s">
        <v>4</v>
      </c>
      <c r="E109" s="9" t="s">
        <v>45</v>
      </c>
      <c r="F109" s="9" t="s">
        <v>86</v>
      </c>
      <c r="G109" s="9" t="s">
        <v>32</v>
      </c>
    </row>
    <row r="110" spans="2:7" x14ac:dyDescent="0.35">
      <c r="B110" s="10" t="s">
        <v>40</v>
      </c>
      <c r="C110" s="14" t="s">
        <v>161</v>
      </c>
      <c r="D110" s="104" t="str">
        <f>_xlfn.XLOOKUP(C110,BackUpDATA!X3:X25,BackUpDATA!Y3:Y25)</f>
        <v>Density</v>
      </c>
      <c r="E110" s="5"/>
      <c r="F110" s="5"/>
      <c r="G110" s="56" t="e">
        <f>D110*E110*F110</f>
        <v>#VALUE!</v>
      </c>
    </row>
    <row r="111" spans="2:7" x14ac:dyDescent="0.35">
      <c r="B111" s="10"/>
      <c r="C111" s="14" t="s">
        <v>198</v>
      </c>
      <c r="D111" s="5"/>
      <c r="E111" s="5"/>
      <c r="F111" s="5"/>
      <c r="G111" s="56">
        <f t="shared" ref="G111:G113" si="4">D111*E111*F111</f>
        <v>0</v>
      </c>
    </row>
    <row r="112" spans="2:7" x14ac:dyDescent="0.35">
      <c r="B112" s="10" t="s">
        <v>39</v>
      </c>
      <c r="C112" s="6" t="s">
        <v>168</v>
      </c>
      <c r="D112" s="104" t="str">
        <f>_xlfn.XLOOKUP(C112,BackUpDATA!Z3:Z25,BackUpDATA!AA3:AA25)</f>
        <v>Density</v>
      </c>
      <c r="E112" s="5"/>
      <c r="F112" s="5"/>
      <c r="G112" s="56" t="e">
        <f t="shared" si="4"/>
        <v>#VALUE!</v>
      </c>
    </row>
    <row r="113" spans="2:7" x14ac:dyDescent="0.35">
      <c r="B113" s="10"/>
      <c r="C113" s="6" t="s">
        <v>199</v>
      </c>
      <c r="D113" s="5"/>
      <c r="E113" s="5"/>
      <c r="F113" s="5"/>
      <c r="G113" s="56">
        <f t="shared" si="4"/>
        <v>0</v>
      </c>
    </row>
    <row r="114" spans="2:7" ht="16" x14ac:dyDescent="0.35">
      <c r="B114" s="134" t="s">
        <v>51</v>
      </c>
      <c r="C114" s="135"/>
      <c r="D114" s="135"/>
      <c r="E114" s="135"/>
      <c r="F114" s="136"/>
      <c r="G114" s="24">
        <f>_xlfn.AGGREGATE(9,6,G110,G111,G112,G113)</f>
        <v>0</v>
      </c>
    </row>
    <row r="115" spans="2:7" x14ac:dyDescent="0.35">
      <c r="B115" s="21"/>
      <c r="C115" s="1"/>
      <c r="D115" s="3"/>
      <c r="E115" s="3"/>
      <c r="F115" s="3"/>
      <c r="G115" s="3"/>
    </row>
    <row r="116" spans="2:7" ht="16" x14ac:dyDescent="0.35">
      <c r="B116" s="137" t="s">
        <v>205</v>
      </c>
      <c r="C116" s="138"/>
      <c r="D116" s="138"/>
      <c r="E116" s="138"/>
      <c r="F116" s="138"/>
      <c r="G116" s="139"/>
    </row>
    <row r="117" spans="2:7" x14ac:dyDescent="0.35">
      <c r="B117" s="9" t="s">
        <v>31</v>
      </c>
      <c r="C117" s="9" t="s">
        <v>3</v>
      </c>
      <c r="D117" s="9" t="s">
        <v>4</v>
      </c>
      <c r="E117" s="9"/>
      <c r="F117" s="9" t="s">
        <v>45</v>
      </c>
      <c r="G117" s="9" t="s">
        <v>32</v>
      </c>
    </row>
    <row r="118" spans="2:7" ht="16" x14ac:dyDescent="0.35">
      <c r="B118" s="10" t="s">
        <v>41</v>
      </c>
      <c r="C118" s="14" t="s">
        <v>149</v>
      </c>
      <c r="D118" s="104" t="str">
        <f>_xlfn.XLOOKUP(C118,BackUpDATA!AB3:AB25,BackUpDATA!AC3:AC25)</f>
        <v>Density</v>
      </c>
      <c r="E118" s="5"/>
      <c r="F118" s="5"/>
      <c r="G118" s="43" t="e">
        <f>D118*F118</f>
        <v>#VALUE!</v>
      </c>
    </row>
    <row r="119" spans="2:7" ht="16" x14ac:dyDescent="0.35">
      <c r="B119" s="137" t="s">
        <v>204</v>
      </c>
      <c r="C119" s="138"/>
      <c r="D119" s="138"/>
      <c r="E119" s="138"/>
      <c r="F119" s="138"/>
      <c r="G119" s="139"/>
    </row>
    <row r="120" spans="2:7" x14ac:dyDescent="0.35">
      <c r="B120" s="9" t="s">
        <v>31</v>
      </c>
      <c r="C120" s="9" t="s">
        <v>3</v>
      </c>
      <c r="D120" s="9" t="s">
        <v>4</v>
      </c>
      <c r="E120" s="9" t="s">
        <v>43</v>
      </c>
      <c r="F120" s="9" t="s">
        <v>44</v>
      </c>
      <c r="G120" s="9" t="s">
        <v>32</v>
      </c>
    </row>
    <row r="121" spans="2:7" ht="16" x14ac:dyDescent="0.35">
      <c r="B121" s="10" t="s">
        <v>42</v>
      </c>
      <c r="C121" s="14" t="s">
        <v>3</v>
      </c>
      <c r="D121" s="13">
        <v>1</v>
      </c>
      <c r="E121" s="5"/>
      <c r="F121" s="5"/>
      <c r="G121" s="43">
        <f>D121*E121*F121</f>
        <v>0</v>
      </c>
    </row>
    <row r="123" spans="2:7" ht="16" x14ac:dyDescent="0.35">
      <c r="B123" s="128" t="s">
        <v>46</v>
      </c>
      <c r="C123" s="129"/>
      <c r="D123" s="129"/>
      <c r="E123" s="129"/>
      <c r="F123" s="130"/>
      <c r="G123" s="24">
        <f>_xlfn.AGGREGATE(9,6,G87,G106,G114,G118,G121)</f>
        <v>0</v>
      </c>
    </row>
    <row r="126" spans="2:7" ht="18.5" x14ac:dyDescent="0.45">
      <c r="B126" s="127" t="s">
        <v>192</v>
      </c>
      <c r="C126" s="127"/>
    </row>
    <row r="127" spans="2:7" ht="18.5" x14ac:dyDescent="0.45">
      <c r="B127" s="41" t="s">
        <v>177</v>
      </c>
      <c r="C127" s="42">
        <f>F14</f>
        <v>0</v>
      </c>
    </row>
    <row r="128" spans="2:7" ht="18.5" x14ac:dyDescent="0.45">
      <c r="B128" s="41" t="s">
        <v>75</v>
      </c>
      <c r="C128" s="42">
        <f>F44</f>
        <v>0</v>
      </c>
    </row>
    <row r="129" spans="2:3" ht="18.5" x14ac:dyDescent="0.45">
      <c r="B129" s="41" t="s">
        <v>76</v>
      </c>
      <c r="C129" s="42">
        <f>G75</f>
        <v>0</v>
      </c>
    </row>
    <row r="130" spans="2:3" ht="18.5" x14ac:dyDescent="0.45">
      <c r="B130" s="41" t="s">
        <v>77</v>
      </c>
      <c r="C130" s="42">
        <f>G123</f>
        <v>0</v>
      </c>
    </row>
    <row r="131" spans="2:3" ht="18.5" x14ac:dyDescent="0.45">
      <c r="B131" s="41" t="s">
        <v>73</v>
      </c>
      <c r="C131" s="42">
        <f>C127+C128+C129+C130</f>
        <v>0</v>
      </c>
    </row>
    <row r="132" spans="2:3" ht="18.5" x14ac:dyDescent="0.45">
      <c r="B132" s="41" t="s">
        <v>200</v>
      </c>
      <c r="C132" s="42">
        <f>F7</f>
        <v>0</v>
      </c>
    </row>
    <row r="133" spans="2:3" ht="18.5" x14ac:dyDescent="0.45">
      <c r="B133" s="41" t="s">
        <v>107</v>
      </c>
      <c r="C133" s="42">
        <f>C131-C132</f>
        <v>0</v>
      </c>
    </row>
    <row r="134" spans="2:3" ht="18.5" x14ac:dyDescent="0.45">
      <c r="B134" s="40" t="s">
        <v>78</v>
      </c>
      <c r="C134" s="48" t="e">
        <f>C131/C132</f>
        <v>#DIV/0!</v>
      </c>
    </row>
    <row r="135" spans="2:3" ht="18.5" x14ac:dyDescent="0.45">
      <c r="B135" s="40" t="s">
        <v>79</v>
      </c>
      <c r="C135" s="48" t="e">
        <f>C133/C132</f>
        <v>#DIV/0!</v>
      </c>
    </row>
  </sheetData>
  <mergeCells count="53">
    <mergeCell ref="B2:F2"/>
    <mergeCell ref="B81:B83"/>
    <mergeCell ref="B84:B86"/>
    <mergeCell ref="B52:C52"/>
    <mergeCell ref="B53:C53"/>
    <mergeCell ref="B54:C54"/>
    <mergeCell ref="B55:C55"/>
    <mergeCell ref="B49:C49"/>
    <mergeCell ref="B50:C50"/>
    <mergeCell ref="B57:G57"/>
    <mergeCell ref="B58:C58"/>
    <mergeCell ref="B59:C59"/>
    <mergeCell ref="B61:C61"/>
    <mergeCell ref="B62:C62"/>
    <mergeCell ref="B46:G46"/>
    <mergeCell ref="B75:F75"/>
    <mergeCell ref="B56:F56"/>
    <mergeCell ref="B114:F114"/>
    <mergeCell ref="B116:G116"/>
    <mergeCell ref="B48:G48"/>
    <mergeCell ref="B73:F73"/>
    <mergeCell ref="B106:F106"/>
    <mergeCell ref="B67:G67"/>
    <mergeCell ref="B63:C63"/>
    <mergeCell ref="B64:C64"/>
    <mergeCell ref="B65:F65"/>
    <mergeCell ref="B126:C126"/>
    <mergeCell ref="B77:G77"/>
    <mergeCell ref="B79:G79"/>
    <mergeCell ref="B87:F87"/>
    <mergeCell ref="B89:G89"/>
    <mergeCell ref="B119:G119"/>
    <mergeCell ref="B123:F123"/>
    <mergeCell ref="B108:G108"/>
    <mergeCell ref="B91:B95"/>
    <mergeCell ref="B96:B100"/>
    <mergeCell ref="B101:B105"/>
    <mergeCell ref="D17:D18"/>
    <mergeCell ref="E17:E18"/>
    <mergeCell ref="F17:F18"/>
    <mergeCell ref="B44:D44"/>
    <mergeCell ref="B10:C10"/>
    <mergeCell ref="B11:C11"/>
    <mergeCell ref="B16:F16"/>
    <mergeCell ref="B17:C17"/>
    <mergeCell ref="B14:E14"/>
    <mergeCell ref="B12:C12"/>
    <mergeCell ref="B9:F9"/>
    <mergeCell ref="B4:F4"/>
    <mergeCell ref="B5:C5"/>
    <mergeCell ref="B6:C6"/>
    <mergeCell ref="H6:L6"/>
    <mergeCell ref="B7:E7"/>
  </mergeCells>
  <dataValidations count="30">
    <dataValidation allowBlank="1" showInputMessage="1" showErrorMessage="1" promptTitle="Type of Resin" sqref="B6:C6 B7 B13:G13 B14" xr:uid="{29FF9A8C-788E-4E8F-8A4A-3811E43E4666}"/>
    <dataValidation type="list" allowBlank="1" showInputMessage="1" showErrorMessage="1" sqref="C8" xr:uid="{B14F2F44-4C94-416E-A29E-4B0DC91B1D97}">
      <formula1>$C$6:$C$16</formula1>
    </dataValidation>
    <dataValidation allowBlank="1" showInputMessage="1" showErrorMessage="1" promptTitle="Molecular weight of the tag" prompt="Enter the molecular weight of the tag" sqref="D6" xr:uid="{226B5B37-8783-4042-A307-F81DDD60A3D4}"/>
    <dataValidation allowBlank="1" showInputMessage="1" showErrorMessage="1" promptTitle="Scale of synthesis (mmol)" prompt="Enter the scale of synthesis in mmol" sqref="E6" xr:uid="{9C59C0BD-60DB-4466-BE55-C98B3D719318}"/>
    <dataValidation allowBlank="1" showInputMessage="1" showErrorMessage="1" promptTitle="Amount of peptide obtained (g)" prompt="Enter the amount of peptide obtained in grams." sqref="F7" xr:uid="{68BDDE60-BD39-4729-B1A9-A41DB4C8E58A}"/>
    <dataValidation allowBlank="1" showInputMessage="1" showErrorMessage="1" promptTitle="Equivalents of the linker" prompt="Enter the equivalents of the linker used." sqref="E11:E12" xr:uid="{B20BE307-1833-4CB2-A7F2-582FCC8D7EF9}"/>
    <dataValidation allowBlank="1" showInputMessage="1" showErrorMessage="1" promptTitle="Any other linker - mol. wt." prompt="In case of any other linker, enter the molecular weight of the respective linker." sqref="D12" xr:uid="{0D46DAFD-6DA2-41E5-A3A8-461FCC9C75EE}"/>
    <dataValidation allowBlank="1" showInputMessage="1" showErrorMessage="1" promptTitle="Equivalents of amino acid" prompt="Enter the equivalents of amino acids used in the synthesis. This is a dimensionless unit and should be a number like, 2.0, 2.5, 3.0, 5.0 etc." sqref="D19:D43" xr:uid="{48E71893-51B0-4C85-A579-B00AAC510E39}"/>
    <dataValidation allowBlank="1" showInputMessage="1" showErrorMessage="1" promptTitle="Repetition in the sequence" prompt="Respectively, if any, enter the repetition. If it is not repeating, enter 1. " sqref="E19:E43" xr:uid="{F9F0EA88-D352-4C42-BC04-3677856B3CD7}"/>
    <dataValidation allowBlank="1" showInputMessage="1" showErrorMessage="1" promptTitle="Any other amino acid" prompt="Enter the molecular weight of respective amino acid used" sqref="C40:C43 C39" xr:uid="{6A9BCA40-EBCC-4364-ADEC-7C1FD9DC3BB9}"/>
    <dataValidation allowBlank="1" showInputMessage="1" showErrorMessage="1" promptTitle="Details of other amino acid used" prompt="Enter the name of any other amino acid used in the sequence apart from the standard mentioned above." sqref="B39:B43" xr:uid="{8137FF7E-A268-46BA-BB91-EBF2EF726CD2}"/>
    <dataValidation allowBlank="1" showInputMessage="1" showErrorMessage="1" promptTitle="Any other solvent" prompt="Mention the respective solvent used (in case if not mentioned in the dropdown menu)." sqref="C82 C83 C86 C85 C94 C95 C99 C100 C104 C105" xr:uid="{E0548831-794F-4B00-9A99-D385A8BDC2E9}"/>
    <dataValidation allowBlank="1" showInputMessage="1" showErrorMessage="1" promptTitle="Density" prompt="Enter the respective density." sqref="D82 D83 D85 D86 D94 D95 D99 D100 D105 D104 D111 D113" xr:uid="{25BCDCB4-60E7-43EA-8EC0-224C25883C94}"/>
    <dataValidation allowBlank="1" showInputMessage="1" showErrorMessage="1" promptTitle="Amount of solvent (in mL)" prompt="Enter the amount of solvent used (in mL) - per coupling or Fmoc removal or precipitation or extraction or during peptide cleavage." sqref="E81:E86 E91:E105" xr:uid="{AB124357-4D51-4905-B1D8-D69B37B2DE19}"/>
    <dataValidation allowBlank="1" showInputMessage="1" showErrorMessage="1" promptTitle="Repetition" prompt="Enter the repetition based on the respective sequence and methodology used." sqref="F81:F86 F91:F105 F110:F113" xr:uid="{D5CE56F9-786A-4C3D-A46A-85A459E947B3}"/>
    <dataValidation allowBlank="1" showInputMessage="1" showErrorMessage="1" promptTitle="Any other cocktail" prompt="Enter any other cocktail used for the global deprotection" sqref="C111" xr:uid="{D7C559DB-0AFE-4ECE-B4A5-54D4B08B7431}"/>
    <dataValidation allowBlank="1" showInputMessage="1" showErrorMessage="1" promptTitle="Any other ether/solvent" prompt="Enter the name of the ether or solvent used for precipitation (if not mentioned in the list above)" sqref="C113" xr:uid="{2DF8D356-A1C6-481F-8FB8-68182044A1BD}"/>
    <dataValidation allowBlank="1" showInputMessage="1" showErrorMessage="1" promptTitle="Amount of solvent (in mL)" prompt="Enter the amount of solvent used (in mL) - during peptide cleavage." sqref="E110:E111 E112:E113" xr:uid="{6F2DFB62-DC84-4D5A-AC43-32D2C1859F46}"/>
    <dataValidation allowBlank="1" showInputMessage="1" showErrorMessage="1" promptTitle="Amount of solvent (in mL)" prompt="Enter the amount of solvent used to prepare the sample (in mL)." sqref="F118" xr:uid="{ED8813D4-EE85-4769-8DB9-5AAB62661D50}"/>
    <dataValidation allowBlank="1" showInputMessage="1" showErrorMessage="1" promptTitle="Equivalents in linker coupling" prompt="Enter the equivalents used in the linker attachment to the tag." sqref="E51:E55 E50" xr:uid="{CEACDBCC-6F27-4838-8B7F-0A6A744AB242}"/>
    <dataValidation allowBlank="1" showInputMessage="1" showErrorMessage="1" promptTitle="Repetition for the linker " prompt="Mostly will be 1 (until double coupling is performed)." sqref="F50 F52:F55" xr:uid="{5FB73FF5-E45B-4AEB-BA90-635433A14DB1}"/>
    <dataValidation allowBlank="1" showInputMessage="1" showErrorMessage="1" promptTitle="Type of Resin" prompt="Mention the name of the linker used (if not mentioned in the dropdown menu)" sqref="B12:C12" xr:uid="{C6FC74A6-9B17-4E45-9375-663A3A471FCC}"/>
    <dataValidation allowBlank="1" showInputMessage="1" showErrorMessage="1" promptTitle="Any other coupling reagent" prompt="Enter any other coupling reagent used if not mentioned in the above list." sqref="B52:C52 B53:C53 B61:C61 B62:C62" xr:uid="{644DEAB5-3A29-4E47-A2A3-B2F81B6EAC27}"/>
    <dataValidation allowBlank="1" showInputMessage="1" showErrorMessage="1" promptTitle="Equivalents in coupling" prompt="Enter the equivalents used in the coupling." sqref="E59:E64" xr:uid="{5CEC7D93-3E52-4315-A2D3-9CE23A1F3D07}"/>
    <dataValidation allowBlank="1" showInputMessage="1" showErrorMessage="1" promptTitle="Repetition for the coupling " prompt="Enter the repetition of coupling (sequence dependent)" sqref="F59:F63 F64" xr:uid="{0119A336-D02A-4402-AA4A-0058B2B3E76B}"/>
    <dataValidation allowBlank="1" showInputMessage="1" showErrorMessage="1" promptTitle="Molecular Weight" prompt="Enter the molecular weight of the respective reagent" sqref="D52:D54 D61:D62" xr:uid="{420F167C-E311-449E-8036-38E5159303B3}"/>
    <dataValidation allowBlank="1" showInputMessage="1" showErrorMessage="1" promptTitle="Any other base/cocktail" prompt="Enter any other base or cocktail used for Fmoc removal (if not available in the dropdown menu)." sqref="B71 B72" xr:uid="{DF36DC15-0B7C-42CE-AAE3-2BD7D3EAA022}"/>
    <dataValidation allowBlank="1" showInputMessage="1" showErrorMessage="1" promptTitle="Repetition for the Fmoc removal" prompt="Enter the repetition of Fmoc removal (sequence dependent) and also one if Rink amide linker is used." sqref="F69:F72" xr:uid="{83326E68-04F8-4C57-AE03-E6E358F19820}"/>
    <dataValidation allowBlank="1" showInputMessage="1" showErrorMessage="1" promptTitle="Amount (mL) or Equivalent" prompt="Enter the amount of reagent (mL) used or the equivalent (depending on the synthesis protocol)." sqref="E69:E72" xr:uid="{A57405AE-7708-4A39-81EE-29CAA4CC6130}"/>
    <dataValidation allowBlank="1" showInputMessage="1" showErrorMessage="1" promptTitle="Mol. Wt. and Density" prompt="If any other base/cocktail is used (other than mentioned in the dropwdown menu). Enter the molecular weight and corresponding density." sqref="C71:D72" xr:uid="{C940A878-D695-4023-97F1-141264207F5E}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 promptTitle="Select Linker" prompt="Select the linker attached to the tag from the dropdown menu." xr:uid="{A27C6FDB-6AA1-4C02-9CAA-F95BD83848B6}">
          <x14:formula1>
            <xm:f>BackUpDATA!$B$3:$B$10</xm:f>
          </x14:formula1>
          <xm:sqref>B11:C11</xm:sqref>
        </x14:dataValidation>
        <x14:dataValidation type="list" allowBlank="1" showInputMessage="1" showErrorMessage="1" promptTitle="Coupling Reagent" prompt="Select the coupling reagent (if available in molar solution)." xr:uid="{FA339CD0-C1A2-4693-8297-049085F963DA}">
          <x14:formula1>
            <xm:f>BackUpDATA!$D$3:$D$30</xm:f>
          </x14:formula1>
          <xm:sqref>B60 B51</xm:sqref>
        </x14:dataValidation>
        <x14:dataValidation type="list" allowBlank="1" showInputMessage="1" showErrorMessage="1" promptTitle="In-situ Fmoc removal" prompt="Select the reagent for Fmoc removal from the dropdown menu." xr:uid="{2E29B166-CDF6-4ED3-95A3-6A934F1716D8}">
          <x14:formula1>
            <xm:f>BackUpDATA!$L$3:$L$25</xm:f>
          </x14:formula1>
          <xm:sqref>B70</xm:sqref>
        </x14:dataValidation>
        <x14:dataValidation type="list" allowBlank="1" showInputMessage="1" showErrorMessage="1" promptTitle="Solvent details: Coupling" prompt="Choose the solvent from the dropdown menu." xr:uid="{52EF7D00-D599-4DBF-B063-523784FD9AE9}">
          <x14:formula1>
            <xm:f>BackUpDATA!$O$3:$O$25</xm:f>
          </x14:formula1>
          <xm:sqref>C81 C84</xm:sqref>
        </x14:dataValidation>
        <x14:dataValidation type="list" allowBlank="1" showInputMessage="1" showErrorMessage="1" promptTitle="CLeavage Cocktail" prompt="Select the cleavage cocktail from the dropdown menu." xr:uid="{4E50C3A2-85BC-4BBC-A967-4876116798F0}">
          <x14:formula1>
            <xm:f>BackUpDATA!$X$3:$X$25</xm:f>
          </x14:formula1>
          <xm:sqref>C110</xm:sqref>
        </x14:dataValidation>
        <x14:dataValidation type="list" allowBlank="1" showInputMessage="1" showErrorMessage="1" promptTitle="Precipitation of peptide" prompt="Choose the ether used for precipitation of peptide." xr:uid="{B58D25DD-0DF6-4CE1-83E7-93C9DBBDD815}">
          <x14:formula1>
            <xm:f>BackUpDATA!$Z$3:$Z$25</xm:f>
          </x14:formula1>
          <xm:sqref>C112</xm:sqref>
        </x14:dataValidation>
        <x14:dataValidation type="list" allowBlank="1" showInputMessage="1" showErrorMessage="1" promptTitle="Sample preparation: Purification" prompt="Select the solvent used to prepare the sample prior to purification (in mL)" xr:uid="{FE2940FB-941D-43A4-B501-3ACC530CBACC}">
          <x14:formula1>
            <xm:f>BackUpDATA!$AB$3:$AB$25</xm:f>
          </x14:formula1>
          <xm:sqref>C118</xm:sqref>
        </x14:dataValidation>
        <x14:dataValidation type="list" allowBlank="1" showInputMessage="1" showErrorMessage="1" promptTitle="Additives" prompt="Select the additives used (if any) from the dropdown menu." xr:uid="{8EDBB3FF-C53C-4817-A613-F2C00C55F222}">
          <x14:formula1>
            <xm:f>BackUpDATA!$F$3:$F$25</xm:f>
          </x14:formula1>
          <xm:sqref>B63:C63 B54:C54</xm:sqref>
        </x14:dataValidation>
        <x14:dataValidation type="list" allowBlank="1" showInputMessage="1" showErrorMessage="1" promptTitle="Base" prompt="Select the base if used during the coupling." xr:uid="{A02628D1-39BD-489F-B002-BDF2312114B7}">
          <x14:formula1>
            <xm:f>BackUpDATA!$H$3:$H$25</xm:f>
          </x14:formula1>
          <xm:sqref>B64:C64</xm:sqref>
        </x14:dataValidation>
        <x14:dataValidation type="list" allowBlank="1" showInputMessage="1" showErrorMessage="1" xr:uid="{9FD86B84-9C2D-400C-9814-AA8408883A7E}">
          <x14:formula1>
            <xm:f>BackUpDATA!$AD$2:$AD$4</xm:f>
          </x14:formula1>
          <xm:sqref>B84</xm:sqref>
        </x14:dataValidation>
        <x14:dataValidation type="list" allowBlank="1" showInputMessage="1" showErrorMessage="1" promptTitle="Fmoc removal cocktail" prompt="Select the Fmoc removal cocktail from the dropdown menu" xr:uid="{A7A3FDAD-3D96-4C33-A94D-C1007942949C}">
          <x14:formula1>
            <xm:f>BackUpDATA!$J$3:$J$25</xm:f>
          </x14:formula1>
          <xm:sqref>B69</xm:sqref>
        </x14:dataValidation>
        <x14:dataValidation type="list" allowBlank="1" showInputMessage="1" showErrorMessage="1" promptTitle="Solvent used after reaction" prompt="Select the solvent used from the dropdown menu used after coupling or Fmoc removal (deprotection)" xr:uid="{BBED3556-5180-43AF-BBB3-66620D59B5D4}">
          <x14:formula1>
            <xm:f>BackUpDATA!$Q$3:$Q$25</xm:f>
          </x14:formula1>
          <xm:sqref>C91 C92 C93 C96 C98 C97 C101 C102 C103</xm:sqref>
        </x14:dataValidation>
        <x14:dataValidation type="list" allowBlank="1" showInputMessage="1" showErrorMessage="1" promptTitle="Coupling Reagent" prompt="Select the coupling reagent used for linker attachment from the dropdown menu." xr:uid="{93C1A344-BF4D-45E5-8EF1-FA3267347509}">
          <x14:formula1>
            <xm:f>BackUpDATA!$D$3:$D$30</xm:f>
          </x14:formula1>
          <xm:sqref>B50:C50</xm:sqref>
        </x14:dataValidation>
        <x14:dataValidation type="list" allowBlank="1" showInputMessage="1" showErrorMessage="1" promptTitle="Base" prompt="Select the base if used during the Linker coupling." xr:uid="{DE6F7067-F0D1-4A2F-9404-57D39F8CA726}">
          <x14:formula1>
            <xm:f>BackUpDATA!$H$3:$H$25</xm:f>
          </x14:formula1>
          <xm:sqref>B55:C55</xm:sqref>
        </x14:dataValidation>
        <x14:dataValidation type="list" allowBlank="1" showInputMessage="1" showErrorMessage="1" promptTitle="Coupling Reagent" prompt="Select the coupling reagent used for coupling from the dropdown menu." xr:uid="{91ECBD2C-78E6-403D-96AF-8952346B3E9D}">
          <x14:formula1>
            <xm:f>BackUpDATA!$D$3:$D$30</xm:f>
          </x14:formula1>
          <xm:sqref>B59:C59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BackUpDATA</vt:lpstr>
      <vt:lpstr>SPPS_PMI-cEF</vt:lpstr>
      <vt:lpstr>LPPS_PMI-cEF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Anamika Sharma</dc:creator>
  <cp:lastModifiedBy>Anamika Sharma</cp:lastModifiedBy>
  <cp:lastPrinted>2026-01-06T11:08:16Z</cp:lastPrinted>
  <dcterms:created xsi:type="dcterms:W3CDTF">2025-02-14T08:43:51Z</dcterms:created>
  <dcterms:modified xsi:type="dcterms:W3CDTF">2026-06-23T16:05:28Z</dcterms:modified>
</cp:coreProperties>
</file>